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 codeName="{3D1A710C-6663-3D7B-7F91-EC182F24A4BC}"/>
  <workbookPr saveExternalLinkValues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020A895-D069-4586-A766-FD6CD82B5B9A}" xr6:coauthVersionLast="36" xr6:coauthVersionMax="36" xr10:uidLastSave="{00000000-0000-0000-0000-000000000000}"/>
  <workbookProtection workbookAlgorithmName="SHA-512" workbookHashValue="+xBc8D6UyQV1XhQQfZgwVCDmacBWTOFa/ddcZ7VuqpLPR6u1yvOzj4pBmgiAUnEugOjAJcVfhSXfEqFXt03yNA==" workbookSaltValue="PycPcztZao4d9YPaVqgtxA==" workbookSpinCount="100000" lockStructure="1"/>
  <bookViews>
    <workbookView xWindow="0" yWindow="0" windowWidth="21705" windowHeight="7935" firstSheet="3" activeTab="3" xr2:uid="{00000000-000D-0000-FFFF-FFFF00000000}"/>
  </bookViews>
  <sheets>
    <sheet name="학교번호(기관명)" sheetId="7" state="veryHidden" r:id="rId1"/>
    <sheet name="학교" sheetId="12" state="veryHidden" r:id="rId2"/>
    <sheet name="연도별 학교 농어촌 급지" sheetId="16" state="veryHidden" r:id="rId3"/>
    <sheet name="입력" sheetId="1" r:id="rId4"/>
    <sheet name="농어촌학교 근무경력 " sheetId="14" r:id="rId5"/>
    <sheet name="명부" sheetId="9" r:id="rId6"/>
    <sheet name="종합" sheetId="2" r:id="rId7"/>
    <sheet name="경력" sheetId="3" r:id="rId8"/>
    <sheet name="연수성적" sheetId="4" r:id="rId9"/>
    <sheet name="경력가산점" sheetId="11" r:id="rId10"/>
    <sheet name="실적가산점" sheetId="6" r:id="rId11"/>
    <sheet name="농어촌 경력가산점" sheetId="18" r:id="rId12"/>
  </sheets>
  <definedNames>
    <definedName name="_xlnm.Print_Area" localSheetId="9">경력가산점!$A$1:$I$63</definedName>
    <definedName name="_xlnm.Print_Area" localSheetId="11">'농어촌 경력가산점'!$A$1:$K$53</definedName>
    <definedName name="_xlnm.Print_Area" localSheetId="10">실적가산점!$A$1:$H$58</definedName>
    <definedName name="기관명">'학교번호(기관명)'!$A:$B</definedName>
    <definedName name="등급" localSheetId="4">'농어촌학교 근무경력 '!#REF!</definedName>
    <definedName name="등급">입력!$E$90:$J$90</definedName>
    <definedName name="연구자" localSheetId="4">'농어촌학교 근무경력 '!#REF!</definedName>
    <definedName name="연구자">입력!$M$90:$P$90</definedName>
  </definedNames>
  <calcPr calcId="191029"/>
</workbook>
</file>

<file path=xl/calcChain.xml><?xml version="1.0" encoding="utf-8"?>
<calcChain xmlns="http://schemas.openxmlformats.org/spreadsheetml/2006/main">
  <c r="K116" i="1" l="1"/>
  <c r="L116" i="1"/>
  <c r="K213" i="1" l="1"/>
  <c r="C43" i="6"/>
  <c r="D43" i="6"/>
  <c r="E43" i="6"/>
  <c r="F43" i="6" s="1"/>
  <c r="B43" i="6"/>
  <c r="A3" i="18" l="1"/>
  <c r="A3" i="6"/>
  <c r="A3" i="11"/>
  <c r="A3" i="4"/>
  <c r="A3" i="3"/>
  <c r="O6" i="9" l="1"/>
  <c r="K113" i="1" l="1"/>
  <c r="H115" i="1"/>
  <c r="E45" i="18" l="1"/>
  <c r="F45" i="18"/>
  <c r="G45" i="18"/>
  <c r="H45" i="18"/>
  <c r="I45" i="18" s="1"/>
  <c r="E46" i="18"/>
  <c r="F46" i="18"/>
  <c r="G46" i="18"/>
  <c r="H46" i="18"/>
  <c r="E47" i="18"/>
  <c r="F47" i="18"/>
  <c r="G47" i="18"/>
  <c r="H47" i="18"/>
  <c r="I47" i="18"/>
  <c r="E48" i="18"/>
  <c r="F48" i="18"/>
  <c r="G48" i="18"/>
  <c r="H48" i="18"/>
  <c r="I48" i="18" s="1"/>
  <c r="Q38" i="14"/>
  <c r="R38" i="14"/>
  <c r="S38" i="14"/>
  <c r="H38" i="14" s="1"/>
  <c r="T38" i="14"/>
  <c r="U38" i="14"/>
  <c r="Q39" i="14"/>
  <c r="R39" i="14"/>
  <c r="S39" i="14"/>
  <c r="H39" i="14" s="1"/>
  <c r="T39" i="14"/>
  <c r="U39" i="14"/>
  <c r="Q40" i="14"/>
  <c r="R40" i="14"/>
  <c r="S40" i="14"/>
  <c r="H40" i="14" s="1"/>
  <c r="T40" i="14"/>
  <c r="U40" i="14"/>
  <c r="Q41" i="14"/>
  <c r="R41" i="14"/>
  <c r="S41" i="14"/>
  <c r="H41" i="14" s="1"/>
  <c r="T41" i="14"/>
  <c r="U41" i="14"/>
  <c r="Q42" i="14"/>
  <c r="I42" i="14" s="1"/>
  <c r="R42" i="14"/>
  <c r="S42" i="14"/>
  <c r="H42" i="14" s="1"/>
  <c r="T42" i="14"/>
  <c r="U42" i="14"/>
  <c r="Q43" i="14"/>
  <c r="R43" i="14"/>
  <c r="S43" i="14"/>
  <c r="H43" i="14" s="1"/>
  <c r="T43" i="14"/>
  <c r="U43" i="14"/>
  <c r="Q44" i="14"/>
  <c r="R44" i="14"/>
  <c r="S44" i="14"/>
  <c r="H44" i="14" s="1"/>
  <c r="T44" i="14"/>
  <c r="U44" i="14"/>
  <c r="Q9" i="14"/>
  <c r="R9" i="14"/>
  <c r="S9" i="14"/>
  <c r="H9" i="14" s="1"/>
  <c r="T9" i="14"/>
  <c r="U9" i="14"/>
  <c r="I44" i="14" l="1"/>
  <c r="I39" i="14"/>
  <c r="I41" i="14"/>
  <c r="I43" i="14"/>
  <c r="I38" i="14"/>
  <c r="I40" i="14"/>
  <c r="L43" i="14"/>
  <c r="J47" i="18" s="1"/>
  <c r="L44" i="14"/>
  <c r="J48" i="18" s="1"/>
  <c r="L42" i="14"/>
  <c r="J46" i="18" s="1"/>
  <c r="I46" i="18"/>
  <c r="L41" i="14"/>
  <c r="J45" i="18" s="1"/>
  <c r="I9" i="14"/>
  <c r="L9" i="14" s="1"/>
  <c r="B85" i="1"/>
  <c r="A28" i="11" l="1"/>
  <c r="A26" i="11"/>
  <c r="F22" i="11"/>
  <c r="G22" i="11" s="1"/>
  <c r="E22" i="11"/>
  <c r="D22" i="11"/>
  <c r="C22" i="11"/>
  <c r="S125" i="1"/>
  <c r="R125" i="1"/>
  <c r="Q125" i="1"/>
  <c r="G125" i="1" s="1"/>
  <c r="P125" i="1"/>
  <c r="O125" i="1"/>
  <c r="F18" i="11"/>
  <c r="G18" i="11" s="1"/>
  <c r="E18" i="11"/>
  <c r="D18" i="11"/>
  <c r="C18" i="11"/>
  <c r="S121" i="1"/>
  <c r="R121" i="1"/>
  <c r="Q121" i="1"/>
  <c r="G121" i="1" s="1"/>
  <c r="P121" i="1"/>
  <c r="O121" i="1"/>
  <c r="H121" i="1" l="1"/>
  <c r="H125" i="1"/>
  <c r="C17" i="11"/>
  <c r="D17" i="11"/>
  <c r="E17" i="11"/>
  <c r="F17" i="11"/>
  <c r="G17" i="11" s="1"/>
  <c r="C19" i="11"/>
  <c r="D19" i="11"/>
  <c r="E19" i="11"/>
  <c r="F19" i="11"/>
  <c r="C20" i="11"/>
  <c r="D20" i="11"/>
  <c r="E20" i="11"/>
  <c r="F20" i="11"/>
  <c r="C21" i="11"/>
  <c r="D21" i="11"/>
  <c r="E21" i="11"/>
  <c r="F21" i="11"/>
  <c r="G21" i="11" s="1"/>
  <c r="C23" i="11"/>
  <c r="D23" i="11"/>
  <c r="E23" i="11"/>
  <c r="F23" i="11"/>
  <c r="G23" i="11" s="1"/>
  <c r="C24" i="11"/>
  <c r="D24" i="11"/>
  <c r="E24" i="11"/>
  <c r="F24" i="11"/>
  <c r="G24" i="11" s="1"/>
  <c r="F16" i="11"/>
  <c r="E16" i="11"/>
  <c r="D16" i="11"/>
  <c r="C16" i="11"/>
  <c r="S122" i="1"/>
  <c r="R122" i="1"/>
  <c r="Q122" i="1"/>
  <c r="G122" i="1" s="1"/>
  <c r="P122" i="1"/>
  <c r="O122" i="1"/>
  <c r="S126" i="1"/>
  <c r="R126" i="1"/>
  <c r="Q126" i="1"/>
  <c r="G126" i="1" s="1"/>
  <c r="P126" i="1"/>
  <c r="O126" i="1"/>
  <c r="O127" i="1"/>
  <c r="O124" i="1"/>
  <c r="S127" i="1"/>
  <c r="R127" i="1"/>
  <c r="Q127" i="1"/>
  <c r="G127" i="1" s="1"/>
  <c r="P127" i="1"/>
  <c r="H127" i="1" l="1"/>
  <c r="L127" i="1" s="1"/>
  <c r="H126" i="1"/>
  <c r="H122" i="1"/>
  <c r="G19" i="11" s="1"/>
  <c r="A25" i="11"/>
  <c r="A21" i="11"/>
  <c r="A10" i="11"/>
  <c r="H85" i="1" l="1"/>
  <c r="H42" i="18" l="1"/>
  <c r="I42" i="18" s="1"/>
  <c r="G42" i="18"/>
  <c r="F42" i="18"/>
  <c r="E42" i="18"/>
  <c r="E30" i="11" l="1"/>
  <c r="F30" i="11"/>
  <c r="D30" i="11"/>
  <c r="C30" i="11"/>
  <c r="C29" i="11"/>
  <c r="D29" i="11"/>
  <c r="E29" i="11"/>
  <c r="F29" i="11"/>
  <c r="G29" i="11" s="1"/>
  <c r="O133" i="1"/>
  <c r="P133" i="1"/>
  <c r="Q133" i="1"/>
  <c r="R133" i="1"/>
  <c r="S133" i="1"/>
  <c r="H133" i="1" l="1"/>
  <c r="G133" i="1"/>
  <c r="E85" i="1"/>
  <c r="F85" i="1"/>
  <c r="L133" i="1" l="1"/>
  <c r="K133" i="1" s="1"/>
  <c r="H30" i="11" s="1"/>
  <c r="G30" i="11"/>
  <c r="F53" i="11"/>
  <c r="G53" i="11" s="1"/>
  <c r="E53" i="11"/>
  <c r="D53" i="11"/>
  <c r="C53" i="11"/>
  <c r="F54" i="11"/>
  <c r="G54" i="11" s="1"/>
  <c r="E54" i="11"/>
  <c r="D54" i="11"/>
  <c r="C54" i="11"/>
  <c r="S164" i="1"/>
  <c r="R164" i="1"/>
  <c r="Q164" i="1"/>
  <c r="G164" i="1" s="1"/>
  <c r="P164" i="1"/>
  <c r="O164" i="1"/>
  <c r="S165" i="1"/>
  <c r="R165" i="1"/>
  <c r="Q165" i="1"/>
  <c r="G165" i="1" s="1"/>
  <c r="P165" i="1"/>
  <c r="O165" i="1"/>
  <c r="F38" i="11"/>
  <c r="E38" i="11"/>
  <c r="D38" i="11"/>
  <c r="C38" i="11"/>
  <c r="F39" i="11"/>
  <c r="G39" i="11" s="1"/>
  <c r="E39" i="11"/>
  <c r="D39" i="11"/>
  <c r="C39" i="11"/>
  <c r="S149" i="1"/>
  <c r="R149" i="1"/>
  <c r="Q149" i="1"/>
  <c r="G149" i="1" s="1"/>
  <c r="P149" i="1"/>
  <c r="O149" i="1"/>
  <c r="S150" i="1"/>
  <c r="R150" i="1"/>
  <c r="Q150" i="1"/>
  <c r="G150" i="1" s="1"/>
  <c r="P150" i="1"/>
  <c r="O150" i="1"/>
  <c r="H149" i="1" l="1"/>
  <c r="H150" i="1"/>
  <c r="H165" i="1"/>
  <c r="H164" i="1"/>
  <c r="G38" i="11"/>
  <c r="H43" i="18" l="1"/>
  <c r="I43" i="18" s="1"/>
  <c r="G43" i="18"/>
  <c r="F43" i="18"/>
  <c r="E43" i="18"/>
  <c r="H38" i="18"/>
  <c r="I38" i="18" s="1"/>
  <c r="G38" i="18"/>
  <c r="F38" i="18"/>
  <c r="E38" i="18"/>
  <c r="H33" i="18"/>
  <c r="I33" i="18" s="1"/>
  <c r="G33" i="18"/>
  <c r="F33" i="18"/>
  <c r="E33" i="18"/>
  <c r="H28" i="18"/>
  <c r="I28" i="18" s="1"/>
  <c r="G28" i="18"/>
  <c r="F28" i="18"/>
  <c r="E28" i="18"/>
  <c r="U34" i="14"/>
  <c r="T34" i="14"/>
  <c r="S34" i="14"/>
  <c r="H34" i="14" s="1"/>
  <c r="R34" i="14"/>
  <c r="Q34" i="14"/>
  <c r="U29" i="14"/>
  <c r="T29" i="14"/>
  <c r="S29" i="14"/>
  <c r="H29" i="14" s="1"/>
  <c r="R29" i="14"/>
  <c r="Q29" i="14"/>
  <c r="U24" i="14"/>
  <c r="T24" i="14"/>
  <c r="S24" i="14"/>
  <c r="H24" i="14" s="1"/>
  <c r="R24" i="14"/>
  <c r="Q24" i="14"/>
  <c r="I34" i="14" l="1"/>
  <c r="L34" i="14" s="1"/>
  <c r="J38" i="18" s="1"/>
  <c r="L38" i="14"/>
  <c r="I29" i="14"/>
  <c r="L29" i="14" s="1"/>
  <c r="J33" i="18" s="1"/>
  <c r="I24" i="14"/>
  <c r="L24" i="14" s="1"/>
  <c r="J28" i="18" s="1"/>
  <c r="H37" i="18"/>
  <c r="I37" i="18" s="1"/>
  <c r="G37" i="18"/>
  <c r="F37" i="18"/>
  <c r="E37" i="18"/>
  <c r="H32" i="18"/>
  <c r="I32" i="18" s="1"/>
  <c r="G32" i="18"/>
  <c r="F32" i="18"/>
  <c r="E32" i="18"/>
  <c r="U33" i="14"/>
  <c r="T33" i="14"/>
  <c r="S33" i="14"/>
  <c r="H33" i="14" s="1"/>
  <c r="R33" i="14"/>
  <c r="Q33" i="14"/>
  <c r="U28" i="14"/>
  <c r="T28" i="14"/>
  <c r="S28" i="14"/>
  <c r="H28" i="14" s="1"/>
  <c r="R28" i="14"/>
  <c r="Q28" i="14"/>
  <c r="H27" i="18"/>
  <c r="I27" i="18" s="1"/>
  <c r="G27" i="18"/>
  <c r="F27" i="18"/>
  <c r="E27" i="18"/>
  <c r="U23" i="14"/>
  <c r="T23" i="14"/>
  <c r="S23" i="14"/>
  <c r="H23" i="14" s="1"/>
  <c r="R23" i="14"/>
  <c r="Q23" i="14"/>
  <c r="J42" i="18" l="1"/>
  <c r="I28" i="14"/>
  <c r="L28" i="14" s="1"/>
  <c r="J32" i="18" s="1"/>
  <c r="L39" i="14"/>
  <c r="J43" i="18" s="1"/>
  <c r="I23" i="14"/>
  <c r="L23" i="14" s="1"/>
  <c r="J27" i="18" s="1"/>
  <c r="I33" i="14"/>
  <c r="L33" i="14" s="1"/>
  <c r="J37" i="18" s="1"/>
  <c r="K211" i="1"/>
  <c r="C10" i="18" l="1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6" i="18"/>
  <c r="E29" i="18"/>
  <c r="E30" i="18"/>
  <c r="E31" i="18"/>
  <c r="E34" i="18"/>
  <c r="E35" i="18"/>
  <c r="E36" i="18"/>
  <c r="E39" i="18"/>
  <c r="E40" i="18"/>
  <c r="E41" i="18"/>
  <c r="E44" i="18"/>
  <c r="E11" i="18"/>
  <c r="E12" i="18"/>
  <c r="E10" i="18"/>
  <c r="F15" i="18" l="1"/>
  <c r="G15" i="18"/>
  <c r="H15" i="18"/>
  <c r="I15" i="18" s="1"/>
  <c r="F16" i="18"/>
  <c r="G16" i="18"/>
  <c r="H16" i="18"/>
  <c r="I16" i="18" s="1"/>
  <c r="F17" i="18"/>
  <c r="G17" i="18"/>
  <c r="H17" i="18"/>
  <c r="I17" i="18" s="1"/>
  <c r="F18" i="18"/>
  <c r="G18" i="18"/>
  <c r="H18" i="18"/>
  <c r="I18" i="18" s="1"/>
  <c r="F19" i="18"/>
  <c r="G19" i="18"/>
  <c r="H19" i="18"/>
  <c r="I19" i="18" s="1"/>
  <c r="H14" i="18" l="1"/>
  <c r="G14" i="18"/>
  <c r="F14" i="18"/>
  <c r="U11" i="14" l="1"/>
  <c r="T11" i="14"/>
  <c r="S11" i="14"/>
  <c r="H11" i="14" s="1"/>
  <c r="R11" i="14"/>
  <c r="Q11" i="14"/>
  <c r="U14" i="14"/>
  <c r="T14" i="14"/>
  <c r="S14" i="14"/>
  <c r="H14" i="14" s="1"/>
  <c r="R14" i="14"/>
  <c r="Q14" i="14"/>
  <c r="U12" i="14"/>
  <c r="T12" i="14"/>
  <c r="S12" i="14"/>
  <c r="H12" i="14" s="1"/>
  <c r="R12" i="14"/>
  <c r="Q12" i="14"/>
  <c r="I11" i="14" l="1"/>
  <c r="L11" i="14" s="1"/>
  <c r="J15" i="18" s="1"/>
  <c r="I14" i="14"/>
  <c r="I12" i="14"/>
  <c r="L12" i="14" s="1"/>
  <c r="J16" i="18" s="1"/>
  <c r="D20" i="1"/>
  <c r="L14" i="14" l="1"/>
  <c r="J18" i="18" s="1"/>
  <c r="F11" i="18"/>
  <c r="F12" i="18"/>
  <c r="F13" i="18"/>
  <c r="F20" i="18"/>
  <c r="F21" i="18"/>
  <c r="F22" i="18"/>
  <c r="F23" i="18"/>
  <c r="F24" i="18"/>
  <c r="F25" i="18"/>
  <c r="F26" i="18"/>
  <c r="F29" i="18"/>
  <c r="F30" i="18"/>
  <c r="F31" i="18"/>
  <c r="F34" i="18"/>
  <c r="F35" i="18"/>
  <c r="F36" i="18"/>
  <c r="F39" i="18"/>
  <c r="F40" i="18"/>
  <c r="F41" i="18"/>
  <c r="F44" i="18"/>
  <c r="G11" i="18"/>
  <c r="H11" i="18"/>
  <c r="G12" i="18"/>
  <c r="H12" i="18"/>
  <c r="I12" i="18" s="1"/>
  <c r="G13" i="18"/>
  <c r="H13" i="18"/>
  <c r="I13" i="18" s="1"/>
  <c r="G20" i="18"/>
  <c r="H20" i="18"/>
  <c r="I20" i="18" s="1"/>
  <c r="G21" i="18"/>
  <c r="H21" i="18"/>
  <c r="I21" i="18" s="1"/>
  <c r="G22" i="18"/>
  <c r="H22" i="18"/>
  <c r="G23" i="18"/>
  <c r="H23" i="18"/>
  <c r="I23" i="18" s="1"/>
  <c r="G24" i="18"/>
  <c r="H24" i="18"/>
  <c r="I24" i="18" s="1"/>
  <c r="G25" i="18"/>
  <c r="H25" i="18"/>
  <c r="I25" i="18" s="1"/>
  <c r="G26" i="18"/>
  <c r="H26" i="18"/>
  <c r="I26" i="18" s="1"/>
  <c r="G29" i="18"/>
  <c r="H29" i="18"/>
  <c r="I29" i="18" s="1"/>
  <c r="G30" i="18"/>
  <c r="H30" i="18"/>
  <c r="I30" i="18" s="1"/>
  <c r="G31" i="18"/>
  <c r="H31" i="18"/>
  <c r="G34" i="18"/>
  <c r="H34" i="18"/>
  <c r="I34" i="18" s="1"/>
  <c r="G35" i="18"/>
  <c r="H35" i="18"/>
  <c r="I35" i="18" s="1"/>
  <c r="G36" i="18"/>
  <c r="H36" i="18"/>
  <c r="I36" i="18" s="1"/>
  <c r="G39" i="18"/>
  <c r="H39" i="18"/>
  <c r="I39" i="18" s="1"/>
  <c r="G40" i="18"/>
  <c r="H40" i="18"/>
  <c r="I40" i="18" s="1"/>
  <c r="G41" i="18"/>
  <c r="H41" i="18"/>
  <c r="I41" i="18" s="1"/>
  <c r="G44" i="18"/>
  <c r="H44" i="18"/>
  <c r="I44" i="18" s="1"/>
  <c r="H10" i="18" l="1"/>
  <c r="G10" i="18"/>
  <c r="F10" i="18"/>
  <c r="I53" i="18"/>
  <c r="G53" i="18"/>
  <c r="E53" i="18"/>
  <c r="I52" i="18"/>
  <c r="G52" i="18"/>
  <c r="E52" i="18"/>
  <c r="H6" i="18"/>
  <c r="F6" i="18"/>
  <c r="C56" i="11"/>
  <c r="D56" i="11"/>
  <c r="E56" i="11"/>
  <c r="F56" i="11"/>
  <c r="O167" i="1"/>
  <c r="P167" i="1"/>
  <c r="Q167" i="1"/>
  <c r="G167" i="1" s="1"/>
  <c r="R167" i="1"/>
  <c r="S167" i="1"/>
  <c r="G56" i="11" l="1"/>
  <c r="H167" i="1"/>
  <c r="L24" i="18"/>
  <c r="Q25" i="14" l="1"/>
  <c r="R25" i="14"/>
  <c r="S25" i="14"/>
  <c r="T25" i="14"/>
  <c r="U25" i="14"/>
  <c r="Q26" i="14"/>
  <c r="R26" i="14"/>
  <c r="S26" i="14"/>
  <c r="H26" i="14" s="1"/>
  <c r="T26" i="14"/>
  <c r="U26" i="14"/>
  <c r="Q27" i="14"/>
  <c r="R27" i="14"/>
  <c r="S27" i="14"/>
  <c r="T27" i="14"/>
  <c r="U27" i="14"/>
  <c r="Q30" i="14"/>
  <c r="R30" i="14"/>
  <c r="S30" i="14"/>
  <c r="H30" i="14" s="1"/>
  <c r="T30" i="14"/>
  <c r="U30" i="14"/>
  <c r="Q31" i="14"/>
  <c r="R31" i="14"/>
  <c r="S31" i="14"/>
  <c r="H31" i="14" s="1"/>
  <c r="T31" i="14"/>
  <c r="U31" i="14"/>
  <c r="Q32" i="14"/>
  <c r="R32" i="14"/>
  <c r="S32" i="14"/>
  <c r="H32" i="14" s="1"/>
  <c r="T32" i="14"/>
  <c r="U32" i="14"/>
  <c r="Q35" i="14"/>
  <c r="R35" i="14"/>
  <c r="S35" i="14"/>
  <c r="H35" i="14" s="1"/>
  <c r="T35" i="14"/>
  <c r="U35" i="14"/>
  <c r="Q36" i="14"/>
  <c r="R36" i="14"/>
  <c r="S36" i="14"/>
  <c r="H36" i="14" s="1"/>
  <c r="T36" i="14"/>
  <c r="U36" i="14"/>
  <c r="Q37" i="14"/>
  <c r="R37" i="14"/>
  <c r="S37" i="14"/>
  <c r="H37" i="14" s="1"/>
  <c r="T37" i="14"/>
  <c r="U37" i="14"/>
  <c r="H25" i="14"/>
  <c r="Q7" i="14"/>
  <c r="R7" i="14"/>
  <c r="S7" i="14"/>
  <c r="T7" i="14"/>
  <c r="U7" i="14"/>
  <c r="Q8" i="14"/>
  <c r="R8" i="14"/>
  <c r="S8" i="14"/>
  <c r="T8" i="14"/>
  <c r="U8" i="14"/>
  <c r="Q10" i="14"/>
  <c r="R10" i="14"/>
  <c r="S10" i="14"/>
  <c r="T10" i="14"/>
  <c r="U10" i="14"/>
  <c r="Q13" i="14"/>
  <c r="R13" i="14"/>
  <c r="S13" i="14"/>
  <c r="T13" i="14"/>
  <c r="U13" i="14"/>
  <c r="Q15" i="14"/>
  <c r="R15" i="14"/>
  <c r="S15" i="14"/>
  <c r="T15" i="14"/>
  <c r="U15" i="14"/>
  <c r="Q16" i="14"/>
  <c r="R16" i="14"/>
  <c r="S16" i="14"/>
  <c r="T16" i="14"/>
  <c r="U16" i="14"/>
  <c r="Q17" i="14"/>
  <c r="R17" i="14"/>
  <c r="S17" i="14"/>
  <c r="H17" i="14" s="1"/>
  <c r="T17" i="14"/>
  <c r="U17" i="14"/>
  <c r="Q18" i="14"/>
  <c r="R18" i="14"/>
  <c r="S18" i="14"/>
  <c r="H18" i="14" s="1"/>
  <c r="T18" i="14"/>
  <c r="U18" i="14"/>
  <c r="Q19" i="14"/>
  <c r="R19" i="14"/>
  <c r="S19" i="14"/>
  <c r="H19" i="14" s="1"/>
  <c r="T19" i="14"/>
  <c r="U19" i="14"/>
  <c r="Q20" i="14"/>
  <c r="R20" i="14"/>
  <c r="S20" i="14"/>
  <c r="H20" i="14" s="1"/>
  <c r="T20" i="14"/>
  <c r="U20" i="14"/>
  <c r="Q21" i="14"/>
  <c r="R21" i="14"/>
  <c r="S21" i="14"/>
  <c r="H21" i="14" s="1"/>
  <c r="T21" i="14"/>
  <c r="U21" i="14"/>
  <c r="Q22" i="14"/>
  <c r="R22" i="14"/>
  <c r="S22" i="14"/>
  <c r="H22" i="14" s="1"/>
  <c r="T22" i="14"/>
  <c r="U22" i="14"/>
  <c r="I37" i="14" l="1"/>
  <c r="I25" i="14"/>
  <c r="L25" i="14" s="1"/>
  <c r="J29" i="18" s="1"/>
  <c r="L37" i="14"/>
  <c r="J41" i="18" s="1"/>
  <c r="I36" i="14"/>
  <c r="L36" i="14" s="1"/>
  <c r="J40" i="18" s="1"/>
  <c r="I27" i="14"/>
  <c r="I35" i="14"/>
  <c r="L35" i="14" s="1"/>
  <c r="I30" i="14"/>
  <c r="I21" i="14"/>
  <c r="I22" i="18"/>
  <c r="H27" i="14"/>
  <c r="I19" i="14"/>
  <c r="I32" i="14"/>
  <c r="I20" i="14"/>
  <c r="I31" i="14"/>
  <c r="I26" i="14"/>
  <c r="L26" i="14" s="1"/>
  <c r="I17" i="14"/>
  <c r="I22" i="14"/>
  <c r="L22" i="14" s="1"/>
  <c r="I18" i="14"/>
  <c r="O143" i="1"/>
  <c r="P143" i="1"/>
  <c r="Q143" i="1"/>
  <c r="R143" i="1"/>
  <c r="S143" i="1"/>
  <c r="O144" i="1"/>
  <c r="P144" i="1"/>
  <c r="Q144" i="1"/>
  <c r="R144" i="1"/>
  <c r="S144" i="1"/>
  <c r="O145" i="1"/>
  <c r="P145" i="1"/>
  <c r="Q145" i="1"/>
  <c r="G145" i="1" s="1"/>
  <c r="R145" i="1"/>
  <c r="S145" i="1"/>
  <c r="L27" i="14" l="1"/>
  <c r="L19" i="14"/>
  <c r="J23" i="18" s="1"/>
  <c r="J26" i="18"/>
  <c r="J30" i="18"/>
  <c r="J39" i="18"/>
  <c r="L18" i="14"/>
  <c r="J22" i="18" s="1"/>
  <c r="L40" i="14"/>
  <c r="L17" i="14"/>
  <c r="J21" i="18" s="1"/>
  <c r="L21" i="14"/>
  <c r="J25" i="18" s="1"/>
  <c r="L32" i="14"/>
  <c r="J36" i="18" s="1"/>
  <c r="L20" i="14"/>
  <c r="J24" i="18" s="1"/>
  <c r="L30" i="14"/>
  <c r="J34" i="18" s="1"/>
  <c r="L31" i="14"/>
  <c r="J35" i="18" s="1"/>
  <c r="H145" i="1"/>
  <c r="I31" i="18"/>
  <c r="J31" i="18"/>
  <c r="H7" i="14"/>
  <c r="H8" i="14"/>
  <c r="J44" i="18" l="1"/>
  <c r="J13" i="18"/>
  <c r="I8" i="14"/>
  <c r="I7" i="14"/>
  <c r="I11" i="18" s="1"/>
  <c r="H16" i="14"/>
  <c r="H15" i="14"/>
  <c r="H13" i="14"/>
  <c r="H10" i="14"/>
  <c r="U6" i="14"/>
  <c r="T6" i="14"/>
  <c r="S6" i="14"/>
  <c r="H6" i="14" s="1"/>
  <c r="R6" i="14"/>
  <c r="Q6" i="14"/>
  <c r="U5" i="14"/>
  <c r="T5" i="14"/>
  <c r="S5" i="14"/>
  <c r="H5" i="14" s="1"/>
  <c r="R5" i="14"/>
  <c r="Q5" i="14"/>
  <c r="P112" i="1"/>
  <c r="L8" i="14" l="1"/>
  <c r="J12" i="18" s="1"/>
  <c r="L7" i="14"/>
  <c r="J11" i="18" s="1"/>
  <c r="I10" i="18"/>
  <c r="I16" i="14"/>
  <c r="I6" i="14"/>
  <c r="L6" i="14" s="1"/>
  <c r="I5" i="14"/>
  <c r="M5" i="14" s="1"/>
  <c r="I13" i="14"/>
  <c r="I10" i="14"/>
  <c r="L10" i="14" s="1"/>
  <c r="I15" i="14"/>
  <c r="L16" i="14" l="1"/>
  <c r="J20" i="18" s="1"/>
  <c r="L15" i="14"/>
  <c r="J19" i="18" s="1"/>
  <c r="L13" i="14"/>
  <c r="J17" i="18" s="1"/>
  <c r="I14" i="18"/>
  <c r="J10" i="18"/>
  <c r="N6" i="14" l="1"/>
  <c r="M6" i="14" s="1"/>
  <c r="K10" i="18" s="1"/>
  <c r="J14" i="18"/>
  <c r="K219" i="1"/>
  <c r="K218" i="1"/>
  <c r="K222" i="1"/>
  <c r="K221" i="1"/>
  <c r="H35" i="11" l="1"/>
  <c r="L221" i="1"/>
  <c r="G51" i="6" s="1"/>
  <c r="L218" i="1"/>
  <c r="G48" i="6" s="1"/>
  <c r="A13" i="11"/>
  <c r="P146" i="1" l="1"/>
  <c r="O141" i="1"/>
  <c r="P141" i="1"/>
  <c r="Q141" i="1"/>
  <c r="G141" i="1" s="1"/>
  <c r="R141" i="1"/>
  <c r="S141" i="1"/>
  <c r="H141" i="1" l="1"/>
  <c r="B38" i="6"/>
  <c r="C38" i="6"/>
  <c r="D38" i="6"/>
  <c r="E38" i="6"/>
  <c r="F38" i="6" s="1"/>
  <c r="K208" i="1"/>
  <c r="S151" i="1"/>
  <c r="S152" i="1"/>
  <c r="R151" i="1"/>
  <c r="R152" i="1"/>
  <c r="Q151" i="1"/>
  <c r="Q152" i="1"/>
  <c r="G152" i="1" s="1"/>
  <c r="P151" i="1"/>
  <c r="P152" i="1"/>
  <c r="O151" i="1"/>
  <c r="O152" i="1"/>
  <c r="F40" i="11"/>
  <c r="F41" i="11"/>
  <c r="E40" i="11"/>
  <c r="E41" i="11"/>
  <c r="D40" i="11"/>
  <c r="D41" i="11"/>
  <c r="C40" i="11"/>
  <c r="C41" i="11"/>
  <c r="H152" i="1" l="1"/>
  <c r="G41" i="11"/>
  <c r="H151" i="1"/>
  <c r="G151" i="1"/>
  <c r="G40" i="11" s="1"/>
  <c r="O130" i="1"/>
  <c r="P130" i="1"/>
  <c r="Q130" i="1"/>
  <c r="G130" i="1" s="1"/>
  <c r="R130" i="1"/>
  <c r="S130" i="1"/>
  <c r="O131" i="1"/>
  <c r="P131" i="1"/>
  <c r="Q131" i="1"/>
  <c r="G131" i="1" s="1"/>
  <c r="R131" i="1"/>
  <c r="S131" i="1"/>
  <c r="O132" i="1"/>
  <c r="P132" i="1"/>
  <c r="Q132" i="1"/>
  <c r="G132" i="1" s="1"/>
  <c r="R132" i="1"/>
  <c r="S132" i="1"/>
  <c r="D27" i="11"/>
  <c r="E27" i="11"/>
  <c r="F27" i="11"/>
  <c r="G27" i="11" s="1"/>
  <c r="D28" i="11"/>
  <c r="E28" i="11"/>
  <c r="F28" i="11"/>
  <c r="C27" i="11"/>
  <c r="C28" i="11"/>
  <c r="H130" i="1" l="1"/>
  <c r="H131" i="1"/>
  <c r="L131" i="1" s="1"/>
  <c r="H132" i="1"/>
  <c r="L132" i="1" s="1"/>
  <c r="K132" i="1" s="1"/>
  <c r="H29" i="11" s="1"/>
  <c r="G28" i="11"/>
  <c r="K131" i="1" l="1"/>
  <c r="H28" i="11" s="1"/>
  <c r="K178" i="1"/>
  <c r="K201" i="1" l="1"/>
  <c r="S113" i="1"/>
  <c r="R113" i="1"/>
  <c r="Q113" i="1"/>
  <c r="Q114" i="1"/>
  <c r="G114" i="1" s="1"/>
  <c r="Q115" i="1"/>
  <c r="Q116" i="1"/>
  <c r="Q117" i="1"/>
  <c r="Q118" i="1"/>
  <c r="Q119" i="1"/>
  <c r="Q120" i="1"/>
  <c r="Q123" i="1"/>
  <c r="Q124" i="1"/>
  <c r="Q128" i="1"/>
  <c r="Q129" i="1"/>
  <c r="Q134" i="1"/>
  <c r="Q135" i="1"/>
  <c r="Q136" i="1"/>
  <c r="Q137" i="1"/>
  <c r="Q138" i="1"/>
  <c r="Q139" i="1"/>
  <c r="Q140" i="1"/>
  <c r="Q142" i="1"/>
  <c r="Q146" i="1"/>
  <c r="Q147" i="1"/>
  <c r="Q148" i="1"/>
  <c r="Q153" i="1"/>
  <c r="G153" i="1" s="1"/>
  <c r="Q154" i="1"/>
  <c r="G154" i="1" s="1"/>
  <c r="Q155" i="1"/>
  <c r="Q156" i="1"/>
  <c r="Q157" i="1"/>
  <c r="Q158" i="1"/>
  <c r="Q159" i="1"/>
  <c r="Q160" i="1"/>
  <c r="Q161" i="1"/>
  <c r="Q162" i="1"/>
  <c r="Q163" i="1"/>
  <c r="Q166" i="1"/>
  <c r="Q168" i="1"/>
  <c r="Q169" i="1"/>
  <c r="P113" i="1"/>
  <c r="O113" i="1"/>
  <c r="S112" i="1"/>
  <c r="R112" i="1"/>
  <c r="Q112" i="1"/>
  <c r="O112" i="1"/>
  <c r="G113" i="1" l="1"/>
  <c r="G112" i="1"/>
  <c r="H113" i="1"/>
  <c r="H112" i="1"/>
  <c r="G162" i="1"/>
  <c r="K112" i="1" l="1"/>
  <c r="T50" i="1"/>
  <c r="T49" i="1"/>
  <c r="T48" i="1"/>
  <c r="S50" i="1"/>
  <c r="S49" i="1"/>
  <c r="S47" i="1"/>
  <c r="R50" i="1"/>
  <c r="R48" i="1"/>
  <c r="R47" i="1"/>
  <c r="Q49" i="1"/>
  <c r="Q48" i="1"/>
  <c r="Q47" i="1"/>
  <c r="P50" i="1"/>
  <c r="P49" i="1"/>
  <c r="P46" i="1"/>
  <c r="O50" i="1"/>
  <c r="O48" i="1"/>
  <c r="O46" i="1"/>
  <c r="N49" i="1"/>
  <c r="N48" i="1"/>
  <c r="N46" i="1"/>
  <c r="M50" i="1"/>
  <c r="M47" i="1"/>
  <c r="M46" i="1"/>
  <c r="L49" i="1"/>
  <c r="L47" i="1"/>
  <c r="L46" i="1"/>
  <c r="K48" i="1"/>
  <c r="K47" i="1"/>
  <c r="K46" i="1"/>
  <c r="C13" i="4" l="1"/>
  <c r="C14" i="4"/>
  <c r="C12" i="4"/>
  <c r="H13" i="4"/>
  <c r="H14" i="4"/>
  <c r="F13" i="4"/>
  <c r="F14" i="4"/>
  <c r="F12" i="4"/>
  <c r="D13" i="4"/>
  <c r="D14" i="4"/>
  <c r="D12" i="4"/>
  <c r="G83" i="1"/>
  <c r="H83" i="1" s="1"/>
  <c r="J14" i="4"/>
  <c r="H84" i="1"/>
  <c r="J13" i="4" s="1"/>
  <c r="H82" i="1"/>
  <c r="AV84" i="1"/>
  <c r="AU83" i="1"/>
  <c r="C37" i="11"/>
  <c r="D37" i="11"/>
  <c r="E37" i="11"/>
  <c r="F37" i="11"/>
  <c r="C42" i="11"/>
  <c r="D42" i="11"/>
  <c r="E42" i="11"/>
  <c r="F42" i="11"/>
  <c r="G42" i="11" s="1"/>
  <c r="C43" i="11"/>
  <c r="D43" i="11"/>
  <c r="E43" i="11"/>
  <c r="F43" i="11"/>
  <c r="G43" i="11" s="1"/>
  <c r="O153" i="1"/>
  <c r="P153" i="1"/>
  <c r="R153" i="1"/>
  <c r="S153" i="1"/>
  <c r="O154" i="1"/>
  <c r="P154" i="1"/>
  <c r="R154" i="1"/>
  <c r="S154" i="1"/>
  <c r="D10" i="11"/>
  <c r="E10" i="11"/>
  <c r="F10" i="11"/>
  <c r="G10" i="11" s="1"/>
  <c r="C10" i="11"/>
  <c r="H153" i="1" l="1"/>
  <c r="H154" i="1"/>
  <c r="L154" i="1" s="1"/>
  <c r="K154" i="1" s="1"/>
  <c r="H43" i="11" s="1"/>
  <c r="J12" i="4"/>
  <c r="G86" i="1"/>
  <c r="H12" i="4"/>
  <c r="O139" i="1"/>
  <c r="P139" i="1"/>
  <c r="G139" i="1"/>
  <c r="R139" i="1"/>
  <c r="S139" i="1"/>
  <c r="O140" i="1"/>
  <c r="P140" i="1"/>
  <c r="G140" i="1"/>
  <c r="R140" i="1"/>
  <c r="S140" i="1"/>
  <c r="O142" i="1"/>
  <c r="P142" i="1"/>
  <c r="G142" i="1" s="1"/>
  <c r="R142" i="1"/>
  <c r="S142" i="1"/>
  <c r="G143" i="1"/>
  <c r="G144" i="1"/>
  <c r="O146" i="1"/>
  <c r="G146" i="1"/>
  <c r="R146" i="1"/>
  <c r="S146" i="1"/>
  <c r="O147" i="1"/>
  <c r="P147" i="1"/>
  <c r="G147" i="1"/>
  <c r="R147" i="1"/>
  <c r="S147" i="1"/>
  <c r="H139" i="1" l="1"/>
  <c r="H147" i="1"/>
  <c r="H140" i="1"/>
  <c r="H144" i="1"/>
  <c r="H142" i="1"/>
  <c r="H146" i="1"/>
  <c r="H143" i="1"/>
  <c r="F34" i="11"/>
  <c r="E34" i="11"/>
  <c r="D34" i="11"/>
  <c r="C34" i="11"/>
  <c r="F32" i="11"/>
  <c r="G32" i="11" s="1"/>
  <c r="E32" i="11"/>
  <c r="D32" i="11"/>
  <c r="C32" i="11"/>
  <c r="S137" i="1"/>
  <c r="R137" i="1"/>
  <c r="G137" i="1"/>
  <c r="P137" i="1"/>
  <c r="O137" i="1"/>
  <c r="S135" i="1"/>
  <c r="R135" i="1"/>
  <c r="G135" i="1"/>
  <c r="P135" i="1"/>
  <c r="O135" i="1"/>
  <c r="H137" i="1" l="1"/>
  <c r="G34" i="11"/>
  <c r="H135" i="1"/>
  <c r="L135" i="1" s="1"/>
  <c r="K135" i="1" s="1"/>
  <c r="H32" i="11" s="1"/>
  <c r="B36" i="6"/>
  <c r="C36" i="6"/>
  <c r="D36" i="6"/>
  <c r="E36" i="6"/>
  <c r="F36" i="6" s="1"/>
  <c r="B37" i="6"/>
  <c r="C37" i="6"/>
  <c r="D37" i="6"/>
  <c r="E37" i="6"/>
  <c r="F37" i="6" s="1"/>
  <c r="B39" i="6"/>
  <c r="C39" i="6"/>
  <c r="D39" i="6"/>
  <c r="E39" i="6"/>
  <c r="F39" i="6" s="1"/>
  <c r="K207" i="1" l="1"/>
  <c r="K209" i="1"/>
  <c r="O148" i="1" l="1"/>
  <c r="S148" i="1"/>
  <c r="P148" i="1"/>
  <c r="R148" i="1"/>
  <c r="H148" i="1" l="1"/>
  <c r="G148" i="1"/>
  <c r="L223" i="1"/>
  <c r="K220" i="1"/>
  <c r="L220" i="1" s="1"/>
  <c r="K217" i="1"/>
  <c r="K216" i="1"/>
  <c r="K215" i="1"/>
  <c r="K214" i="1"/>
  <c r="K212" i="1"/>
  <c r="K210" i="1"/>
  <c r="K206" i="1"/>
  <c r="K205" i="1"/>
  <c r="K204" i="1"/>
  <c r="K203" i="1"/>
  <c r="K202" i="1"/>
  <c r="L148" i="1" l="1"/>
  <c r="K148" i="1" s="1"/>
  <c r="H37" i="11" s="1"/>
  <c r="L206" i="1"/>
  <c r="L201" i="1"/>
  <c r="G31" i="6" s="1"/>
  <c r="H31" i="6" s="1"/>
  <c r="G37" i="11"/>
  <c r="L210" i="1"/>
  <c r="L212" i="1"/>
  <c r="O211" i="1" s="1"/>
  <c r="L215" i="1"/>
  <c r="S3" i="9"/>
  <c r="G36" i="6" l="1"/>
  <c r="T215" i="1"/>
  <c r="D31" i="1"/>
  <c r="B46" i="1"/>
  <c r="F16" i="6" l="1"/>
  <c r="A6" i="18"/>
  <c r="D19" i="3" l="1"/>
  <c r="D23" i="3"/>
  <c r="D14" i="3"/>
  <c r="O115" i="1"/>
  <c r="O116" i="1"/>
  <c r="O117" i="1"/>
  <c r="O118" i="1"/>
  <c r="O119" i="1"/>
  <c r="O120" i="1"/>
  <c r="O123" i="1"/>
  <c r="S120" i="1"/>
  <c r="H120" i="1" l="1"/>
  <c r="F78" i="1"/>
  <c r="F77" i="1"/>
  <c r="V6" i="9" l="1"/>
  <c r="U6" i="9"/>
  <c r="R120" i="1"/>
  <c r="G120" i="1"/>
  <c r="P120" i="1"/>
  <c r="D12" i="3"/>
  <c r="D10" i="3"/>
  <c r="D21" i="3"/>
  <c r="F28" i="6" l="1"/>
  <c r="D28" i="6"/>
  <c r="C28" i="6"/>
  <c r="B28" i="6"/>
  <c r="A28" i="6"/>
  <c r="F45" i="11"/>
  <c r="E45" i="11"/>
  <c r="D45" i="11"/>
  <c r="C45" i="11"/>
  <c r="S156" i="1"/>
  <c r="R156" i="1"/>
  <c r="P156" i="1"/>
  <c r="O156" i="1"/>
  <c r="C11" i="11"/>
  <c r="D11" i="11"/>
  <c r="E11" i="11"/>
  <c r="F11" i="11"/>
  <c r="C12" i="11"/>
  <c r="D12" i="11"/>
  <c r="E12" i="11"/>
  <c r="F12" i="11"/>
  <c r="C13" i="11"/>
  <c r="D13" i="11"/>
  <c r="E13" i="11"/>
  <c r="F13" i="11"/>
  <c r="C14" i="11"/>
  <c r="D14" i="11"/>
  <c r="E14" i="11"/>
  <c r="F14" i="11"/>
  <c r="C15" i="11"/>
  <c r="D15" i="11"/>
  <c r="E15" i="11"/>
  <c r="F15" i="11"/>
  <c r="C25" i="11"/>
  <c r="D25" i="11"/>
  <c r="E25" i="11"/>
  <c r="F25" i="11"/>
  <c r="C26" i="11"/>
  <c r="D26" i="11"/>
  <c r="E26" i="11"/>
  <c r="F26" i="11"/>
  <c r="C31" i="11"/>
  <c r="D31" i="11"/>
  <c r="E31" i="11"/>
  <c r="F31" i="11"/>
  <c r="C33" i="11"/>
  <c r="D33" i="11"/>
  <c r="E33" i="11"/>
  <c r="F33" i="11"/>
  <c r="C44" i="11"/>
  <c r="D44" i="11"/>
  <c r="E44" i="11"/>
  <c r="F44" i="11"/>
  <c r="C46" i="11"/>
  <c r="D46" i="11"/>
  <c r="E46" i="11"/>
  <c r="F46" i="11"/>
  <c r="C47" i="11"/>
  <c r="D47" i="11"/>
  <c r="E47" i="11"/>
  <c r="F47" i="11"/>
  <c r="C48" i="11"/>
  <c r="D48" i="11"/>
  <c r="E48" i="11"/>
  <c r="F48" i="11"/>
  <c r="C49" i="11"/>
  <c r="D49" i="11"/>
  <c r="E49" i="11"/>
  <c r="F49" i="11"/>
  <c r="C50" i="11"/>
  <c r="D50" i="11"/>
  <c r="E50" i="11"/>
  <c r="F50" i="11"/>
  <c r="C51" i="11"/>
  <c r="D51" i="11"/>
  <c r="E51" i="11"/>
  <c r="F51" i="11"/>
  <c r="C52" i="11"/>
  <c r="D52" i="11"/>
  <c r="E52" i="11"/>
  <c r="F52" i="11"/>
  <c r="C55" i="11"/>
  <c r="D55" i="11"/>
  <c r="E55" i="11"/>
  <c r="F55" i="11"/>
  <c r="C57" i="11"/>
  <c r="D57" i="11"/>
  <c r="E57" i="11"/>
  <c r="F57" i="11"/>
  <c r="C58" i="11"/>
  <c r="D58" i="11"/>
  <c r="E58" i="11"/>
  <c r="F58" i="11"/>
  <c r="E40" i="6"/>
  <c r="F40" i="6" s="1"/>
  <c r="D32" i="6"/>
  <c r="D33" i="6"/>
  <c r="D34" i="6"/>
  <c r="D35" i="6"/>
  <c r="D40" i="6"/>
  <c r="D41" i="6"/>
  <c r="D42" i="6"/>
  <c r="D44" i="6"/>
  <c r="D45" i="6"/>
  <c r="D46" i="6"/>
  <c r="D47" i="6"/>
  <c r="D48" i="6"/>
  <c r="D49" i="6"/>
  <c r="D50" i="6"/>
  <c r="D51" i="6"/>
  <c r="D52" i="6"/>
  <c r="D53" i="6"/>
  <c r="D31" i="6"/>
  <c r="E31" i="6"/>
  <c r="F31" i="6" s="1"/>
  <c r="E32" i="6"/>
  <c r="F32" i="6" s="1"/>
  <c r="E33" i="6"/>
  <c r="F33" i="6" s="1"/>
  <c r="E34" i="6"/>
  <c r="F34" i="6" s="1"/>
  <c r="E35" i="6"/>
  <c r="F35" i="6" s="1"/>
  <c r="E41" i="6"/>
  <c r="F41" i="6" s="1"/>
  <c r="E42" i="6"/>
  <c r="F42" i="6" s="1"/>
  <c r="E44" i="6"/>
  <c r="F44" i="6" s="1"/>
  <c r="E45" i="6"/>
  <c r="F45" i="6" s="1"/>
  <c r="E46" i="6"/>
  <c r="F46" i="6" s="1"/>
  <c r="E47" i="6"/>
  <c r="F47" i="6" s="1"/>
  <c r="E48" i="6"/>
  <c r="F48" i="6" s="1"/>
  <c r="E49" i="6"/>
  <c r="F49" i="6" s="1"/>
  <c r="E50" i="6"/>
  <c r="F50" i="6" s="1"/>
  <c r="E51" i="6"/>
  <c r="F51" i="6" s="1"/>
  <c r="E52" i="6"/>
  <c r="F52" i="6" s="1"/>
  <c r="E53" i="6"/>
  <c r="F53" i="6" s="1"/>
  <c r="B31" i="6"/>
  <c r="C31" i="6"/>
  <c r="B32" i="6"/>
  <c r="C32" i="6"/>
  <c r="B33" i="6"/>
  <c r="C33" i="6"/>
  <c r="B34" i="6"/>
  <c r="C34" i="6"/>
  <c r="B35" i="6"/>
  <c r="C35" i="6"/>
  <c r="B40" i="6"/>
  <c r="C40" i="6"/>
  <c r="B41" i="6"/>
  <c r="C41" i="6"/>
  <c r="B42" i="6"/>
  <c r="C42" i="6"/>
  <c r="B44" i="6"/>
  <c r="C44" i="6"/>
  <c r="B45" i="6"/>
  <c r="C45" i="6"/>
  <c r="B46" i="6"/>
  <c r="C46" i="6"/>
  <c r="B47" i="6"/>
  <c r="C47" i="6"/>
  <c r="B48" i="6"/>
  <c r="C48" i="6"/>
  <c r="B49" i="6"/>
  <c r="C49" i="6"/>
  <c r="B50" i="6"/>
  <c r="C50" i="6"/>
  <c r="B51" i="6"/>
  <c r="C51" i="6"/>
  <c r="B52" i="6"/>
  <c r="C52" i="6"/>
  <c r="B53" i="6"/>
  <c r="C53" i="6"/>
  <c r="S166" i="1"/>
  <c r="R166" i="1"/>
  <c r="P166" i="1"/>
  <c r="O166" i="1"/>
  <c r="S163" i="1"/>
  <c r="R163" i="1"/>
  <c r="P163" i="1"/>
  <c r="O163" i="1"/>
  <c r="G166" i="1" l="1"/>
  <c r="G163" i="1"/>
  <c r="H163" i="1"/>
  <c r="H166" i="1"/>
  <c r="G55" i="11" s="1"/>
  <c r="H156" i="1"/>
  <c r="G45" i="11"/>
  <c r="G156" i="1"/>
  <c r="G52" i="11" l="1"/>
  <c r="G50" i="6"/>
  <c r="K200" i="1"/>
  <c r="E14" i="2"/>
  <c r="E15" i="2"/>
  <c r="A2" i="9"/>
  <c r="G63" i="11" l="1"/>
  <c r="E63" i="11"/>
  <c r="C63" i="11"/>
  <c r="G62" i="11"/>
  <c r="E62" i="11"/>
  <c r="C62" i="11"/>
  <c r="F6" i="11"/>
  <c r="D6" i="11"/>
  <c r="O114" i="1" l="1"/>
  <c r="O128" i="1"/>
  <c r="O129" i="1"/>
  <c r="O134" i="1"/>
  <c r="O136" i="1"/>
  <c r="O138" i="1"/>
  <c r="O155" i="1"/>
  <c r="O157" i="1"/>
  <c r="O158" i="1"/>
  <c r="O159" i="1"/>
  <c r="O160" i="1"/>
  <c r="O161" i="1"/>
  <c r="O162" i="1"/>
  <c r="O168" i="1"/>
  <c r="O169" i="1"/>
  <c r="S169" i="1" l="1"/>
  <c r="H169" i="1" s="1"/>
  <c r="R169" i="1"/>
  <c r="P169" i="1"/>
  <c r="S168" i="1"/>
  <c r="H168" i="1" s="1"/>
  <c r="R168" i="1"/>
  <c r="P168" i="1"/>
  <c r="S162" i="1"/>
  <c r="H162" i="1" s="1"/>
  <c r="R162" i="1"/>
  <c r="P162" i="1"/>
  <c r="S161" i="1"/>
  <c r="H161" i="1" s="1"/>
  <c r="R161" i="1"/>
  <c r="P161" i="1"/>
  <c r="S160" i="1"/>
  <c r="H160" i="1" s="1"/>
  <c r="R160" i="1"/>
  <c r="P160" i="1"/>
  <c r="S159" i="1"/>
  <c r="H159" i="1" s="1"/>
  <c r="R159" i="1"/>
  <c r="P159" i="1"/>
  <c r="S158" i="1"/>
  <c r="H158" i="1" s="1"/>
  <c r="R158" i="1"/>
  <c r="P158" i="1"/>
  <c r="S157" i="1"/>
  <c r="H157" i="1" s="1"/>
  <c r="R157" i="1"/>
  <c r="P157" i="1"/>
  <c r="S155" i="1"/>
  <c r="H155" i="1" s="1"/>
  <c r="R155" i="1"/>
  <c r="P155" i="1"/>
  <c r="S138" i="1"/>
  <c r="H138" i="1" s="1"/>
  <c r="R138" i="1"/>
  <c r="P138" i="1"/>
  <c r="S136" i="1"/>
  <c r="H136" i="1" s="1"/>
  <c r="R136" i="1"/>
  <c r="P136" i="1"/>
  <c r="S134" i="1"/>
  <c r="H134" i="1" s="1"/>
  <c r="R134" i="1"/>
  <c r="P134" i="1"/>
  <c r="S129" i="1"/>
  <c r="H129" i="1" s="1"/>
  <c r="R129" i="1"/>
  <c r="P129" i="1"/>
  <c r="S128" i="1"/>
  <c r="H128" i="1" s="1"/>
  <c r="R128" i="1"/>
  <c r="P128" i="1"/>
  <c r="S124" i="1"/>
  <c r="H124" i="1" s="1"/>
  <c r="R124" i="1"/>
  <c r="G124" i="1"/>
  <c r="P124" i="1"/>
  <c r="S123" i="1"/>
  <c r="H123" i="1" s="1"/>
  <c r="R123" i="1"/>
  <c r="P123" i="1"/>
  <c r="S119" i="1"/>
  <c r="H119" i="1" s="1"/>
  <c r="R119" i="1"/>
  <c r="P119" i="1"/>
  <c r="G119" i="1" s="1"/>
  <c r="G16" i="11" s="1"/>
  <c r="S118" i="1"/>
  <c r="H118" i="1" s="1"/>
  <c r="R118" i="1"/>
  <c r="P118" i="1"/>
  <c r="S117" i="1"/>
  <c r="H117" i="1" s="1"/>
  <c r="R117" i="1"/>
  <c r="P117" i="1"/>
  <c r="S116" i="1"/>
  <c r="H116" i="1" s="1"/>
  <c r="R116" i="1"/>
  <c r="G116" i="1"/>
  <c r="P116" i="1"/>
  <c r="S115" i="1"/>
  <c r="R115" i="1"/>
  <c r="G115" i="1"/>
  <c r="L113" i="1" s="1"/>
  <c r="P115" i="1"/>
  <c r="S114" i="1"/>
  <c r="H114" i="1" s="1"/>
  <c r="R114" i="1"/>
  <c r="P114" i="1"/>
  <c r="R70" i="1"/>
  <c r="Q70" i="1"/>
  <c r="P70" i="1"/>
  <c r="O70" i="1"/>
  <c r="N70" i="1"/>
  <c r="R69" i="1"/>
  <c r="Q69" i="1"/>
  <c r="P69" i="1"/>
  <c r="O69" i="1"/>
  <c r="N69" i="1"/>
  <c r="R68" i="1"/>
  <c r="Q68" i="1"/>
  <c r="P68" i="1"/>
  <c r="O68" i="1"/>
  <c r="N68" i="1"/>
  <c r="R67" i="1"/>
  <c r="Q67" i="1"/>
  <c r="P67" i="1"/>
  <c r="O67" i="1"/>
  <c r="N67" i="1"/>
  <c r="R66" i="1"/>
  <c r="Q66" i="1"/>
  <c r="P66" i="1"/>
  <c r="O66" i="1"/>
  <c r="N66" i="1"/>
  <c r="R65" i="1"/>
  <c r="Q65" i="1"/>
  <c r="P65" i="1"/>
  <c r="O65" i="1"/>
  <c r="N65" i="1"/>
  <c r="R64" i="1"/>
  <c r="Q64" i="1"/>
  <c r="P64" i="1"/>
  <c r="O64" i="1"/>
  <c r="N64" i="1"/>
  <c r="R63" i="1"/>
  <c r="Q63" i="1"/>
  <c r="P63" i="1"/>
  <c r="O63" i="1"/>
  <c r="N63" i="1"/>
  <c r="R62" i="1"/>
  <c r="Q62" i="1"/>
  <c r="P62" i="1"/>
  <c r="O62" i="1"/>
  <c r="N62" i="1"/>
  <c r="R61" i="1"/>
  <c r="Q61" i="1"/>
  <c r="P61" i="1"/>
  <c r="O61" i="1"/>
  <c r="N61" i="1"/>
  <c r="R60" i="1"/>
  <c r="Q60" i="1"/>
  <c r="P60" i="1"/>
  <c r="O60" i="1"/>
  <c r="N60" i="1"/>
  <c r="R57" i="1"/>
  <c r="R58" i="1"/>
  <c r="R59" i="1"/>
  <c r="R56" i="1"/>
  <c r="Q57" i="1"/>
  <c r="Q58" i="1"/>
  <c r="Q59" i="1"/>
  <c r="Q56" i="1"/>
  <c r="P57" i="1"/>
  <c r="P58" i="1"/>
  <c r="P59" i="1"/>
  <c r="P56" i="1"/>
  <c r="O57" i="1"/>
  <c r="O58" i="1"/>
  <c r="O59" i="1"/>
  <c r="O56" i="1"/>
  <c r="N57" i="1"/>
  <c r="N58" i="1"/>
  <c r="N59" i="1"/>
  <c r="N56" i="1"/>
  <c r="G123" i="1" l="1"/>
  <c r="G20" i="11" s="1"/>
  <c r="L124" i="1"/>
  <c r="K124" i="1" s="1"/>
  <c r="H21" i="11" s="1"/>
  <c r="H10" i="11"/>
  <c r="G169" i="1"/>
  <c r="G168" i="1"/>
  <c r="L163" i="1" s="1"/>
  <c r="G138" i="1"/>
  <c r="L138" i="1" s="1"/>
  <c r="G117" i="1"/>
  <c r="G134" i="1"/>
  <c r="L134" i="1" s="1"/>
  <c r="G155" i="1"/>
  <c r="G157" i="1"/>
  <c r="G158" i="1"/>
  <c r="G47" i="11" s="1"/>
  <c r="G159" i="1"/>
  <c r="G48" i="11" s="1"/>
  <c r="G160" i="1"/>
  <c r="G49" i="11" s="1"/>
  <c r="G161" i="1"/>
  <c r="G51" i="11"/>
  <c r="G58" i="11"/>
  <c r="G129" i="1"/>
  <c r="L129" i="1" s="1"/>
  <c r="K129" i="1" s="1"/>
  <c r="H26" i="11" s="1"/>
  <c r="G118" i="1"/>
  <c r="G136" i="1"/>
  <c r="L136" i="1" s="1"/>
  <c r="G128" i="1"/>
  <c r="L128" i="1" s="1"/>
  <c r="K128" i="1" s="1"/>
  <c r="H25" i="11" s="1"/>
  <c r="G26" i="11"/>
  <c r="G50" i="11"/>
  <c r="G13" i="11"/>
  <c r="G15" i="11"/>
  <c r="G28" i="4"/>
  <c r="D28" i="4"/>
  <c r="K138" i="1" l="1"/>
  <c r="G46" i="11"/>
  <c r="L157" i="1"/>
  <c r="K157" i="1" s="1"/>
  <c r="H46" i="11" s="1"/>
  <c r="G31" i="11"/>
  <c r="K134" i="1"/>
  <c r="H31" i="11" s="1"/>
  <c r="G44" i="11"/>
  <c r="L155" i="1"/>
  <c r="G33" i="11"/>
  <c r="K136" i="1"/>
  <c r="H33" i="11" s="1"/>
  <c r="L161" i="1"/>
  <c r="G57" i="11"/>
  <c r="G25" i="11"/>
  <c r="C28" i="4"/>
  <c r="B28" i="4"/>
  <c r="A28" i="4"/>
  <c r="K104" i="1"/>
  <c r="J28" i="4" s="1"/>
  <c r="H13" i="11" l="1"/>
  <c r="I10" i="11" s="1"/>
  <c r="K155" i="1"/>
  <c r="H44" i="11" s="1"/>
  <c r="I44" i="11" s="1"/>
  <c r="K161" i="1"/>
  <c r="H50" i="11" s="1"/>
  <c r="I46" i="11" s="1"/>
  <c r="K163" i="1"/>
  <c r="H52" i="11" s="1"/>
  <c r="I52" i="11" s="1"/>
  <c r="I25" i="11"/>
  <c r="F27" i="6"/>
  <c r="D27" i="6"/>
  <c r="C27" i="6"/>
  <c r="B27" i="6"/>
  <c r="A27" i="6"/>
  <c r="F26" i="6"/>
  <c r="D26" i="6"/>
  <c r="C26" i="6"/>
  <c r="B26" i="6"/>
  <c r="A26" i="6"/>
  <c r="F25" i="6"/>
  <c r="D25" i="6"/>
  <c r="C25" i="6"/>
  <c r="B25" i="6"/>
  <c r="A25" i="6"/>
  <c r="F24" i="6"/>
  <c r="D24" i="6"/>
  <c r="C24" i="6"/>
  <c r="B24" i="6"/>
  <c r="A24" i="6"/>
  <c r="F23" i="6"/>
  <c r="D23" i="6"/>
  <c r="C23" i="6"/>
  <c r="B23" i="6"/>
  <c r="A23" i="6"/>
  <c r="F22" i="6"/>
  <c r="D22" i="6"/>
  <c r="C22" i="6"/>
  <c r="B22" i="6"/>
  <c r="A22" i="6"/>
  <c r="F21" i="6"/>
  <c r="D21" i="6"/>
  <c r="C21" i="6"/>
  <c r="B21" i="6"/>
  <c r="A21" i="6"/>
  <c r="F20" i="6"/>
  <c r="D20" i="6"/>
  <c r="C20" i="6"/>
  <c r="B20" i="6"/>
  <c r="A20" i="6"/>
  <c r="F19" i="6"/>
  <c r="D19" i="6"/>
  <c r="C19" i="6"/>
  <c r="B19" i="6"/>
  <c r="A19" i="6"/>
  <c r="F18" i="6"/>
  <c r="D18" i="6"/>
  <c r="C18" i="6"/>
  <c r="B18" i="6"/>
  <c r="A18" i="6"/>
  <c r="F17" i="6"/>
  <c r="D17" i="6"/>
  <c r="C17" i="6"/>
  <c r="B17" i="6"/>
  <c r="A17" i="6"/>
  <c r="D16" i="6"/>
  <c r="C16" i="6"/>
  <c r="B16" i="6"/>
  <c r="A16" i="6"/>
  <c r="F15" i="6"/>
  <c r="D15" i="6"/>
  <c r="C15" i="6"/>
  <c r="B15" i="6"/>
  <c r="A15" i="6"/>
  <c r="F14" i="6"/>
  <c r="D14" i="6"/>
  <c r="C14" i="6"/>
  <c r="B14" i="6"/>
  <c r="A14" i="6"/>
  <c r="F13" i="6"/>
  <c r="D13" i="6"/>
  <c r="C13" i="6"/>
  <c r="B13" i="6"/>
  <c r="A13" i="6"/>
  <c r="F12" i="6"/>
  <c r="D12" i="6"/>
  <c r="C12" i="6"/>
  <c r="B12" i="6"/>
  <c r="A12" i="6"/>
  <c r="F11" i="6"/>
  <c r="D11" i="6"/>
  <c r="C11" i="6"/>
  <c r="B11" i="6"/>
  <c r="A11" i="6"/>
  <c r="F10" i="6"/>
  <c r="D10" i="6"/>
  <c r="C10" i="6"/>
  <c r="B10" i="6"/>
  <c r="A10" i="6"/>
  <c r="J25" i="11" l="1"/>
  <c r="Y6" i="9"/>
  <c r="X6" i="9"/>
  <c r="W6" i="9"/>
  <c r="T6" i="9"/>
  <c r="Q6" i="9"/>
  <c r="P6" i="9"/>
  <c r="N6" i="9"/>
  <c r="R6" i="9" l="1"/>
  <c r="S6" i="9" s="1"/>
  <c r="F6" i="9"/>
  <c r="E6" i="9"/>
  <c r="K193" i="1" l="1"/>
  <c r="K192" i="1"/>
  <c r="K191" i="1"/>
  <c r="K190" i="1"/>
  <c r="K189" i="1"/>
  <c r="K195" i="1"/>
  <c r="K194" i="1"/>
  <c r="K188" i="1"/>
  <c r="K187" i="1"/>
  <c r="K186" i="1"/>
  <c r="G17" i="6" l="1"/>
  <c r="G19" i="6"/>
  <c r="G26" i="6"/>
  <c r="G21" i="6"/>
  <c r="G23" i="6"/>
  <c r="G18" i="6"/>
  <c r="G25" i="6"/>
  <c r="G20" i="6"/>
  <c r="G22" i="6"/>
  <c r="G24" i="6"/>
  <c r="C22" i="3" l="1"/>
  <c r="C20" i="3"/>
  <c r="C18" i="3"/>
  <c r="C13" i="3"/>
  <c r="C11" i="3"/>
  <c r="C9" i="3"/>
  <c r="E22" i="4"/>
  <c r="F9" i="6"/>
  <c r="D9" i="6"/>
  <c r="C9" i="6"/>
  <c r="B9" i="6"/>
  <c r="A9" i="6"/>
  <c r="K197" i="1"/>
  <c r="G28" i="6" s="1"/>
  <c r="K180" i="1"/>
  <c r="K181" i="1"/>
  <c r="K182" i="1"/>
  <c r="K183" i="1"/>
  <c r="K184" i="1"/>
  <c r="K185" i="1"/>
  <c r="K196" i="1"/>
  <c r="K177" i="1"/>
  <c r="L180" i="1" l="1"/>
  <c r="G14" i="11"/>
  <c r="G27" i="6"/>
  <c r="G15" i="6"/>
  <c r="G13" i="6"/>
  <c r="G11" i="6"/>
  <c r="G9" i="6"/>
  <c r="G16" i="6"/>
  <c r="G14" i="6"/>
  <c r="G12" i="6"/>
  <c r="H59" i="1"/>
  <c r="J59" i="1" s="1"/>
  <c r="I58" i="1"/>
  <c r="K58" i="1" s="1"/>
  <c r="I59" i="1"/>
  <c r="K59" i="1" s="1"/>
  <c r="H58" i="1"/>
  <c r="J58" i="1" s="1"/>
  <c r="H11" i="6" l="1"/>
  <c r="G7" i="6"/>
  <c r="L58" i="1"/>
  <c r="L59" i="1"/>
  <c r="G53" i="6"/>
  <c r="H36" i="6" s="1"/>
  <c r="G45" i="6"/>
  <c r="G42" i="6"/>
  <c r="G40" i="6"/>
  <c r="L200" i="1"/>
  <c r="L177" i="1"/>
  <c r="G29" i="6" l="1"/>
  <c r="I59" i="11"/>
  <c r="E24" i="2" s="1"/>
  <c r="H70" i="1"/>
  <c r="J70" i="1" s="1"/>
  <c r="I70" i="1"/>
  <c r="K70" i="1" s="1"/>
  <c r="H69" i="1"/>
  <c r="I69" i="1"/>
  <c r="H68" i="1"/>
  <c r="J68" i="1" s="1"/>
  <c r="I68" i="1"/>
  <c r="K68" i="1" s="1"/>
  <c r="H67" i="1"/>
  <c r="I67" i="1"/>
  <c r="H66" i="1"/>
  <c r="J66" i="1" s="1"/>
  <c r="I66" i="1"/>
  <c r="K66" i="1" s="1"/>
  <c r="H65" i="1"/>
  <c r="J65" i="1" s="1"/>
  <c r="I65" i="1"/>
  <c r="K65" i="1" s="1"/>
  <c r="I64" i="1"/>
  <c r="H63" i="1"/>
  <c r="J63" i="1" s="1"/>
  <c r="I63" i="1"/>
  <c r="K63" i="1" s="1"/>
  <c r="H62" i="1"/>
  <c r="I62" i="1"/>
  <c r="H61" i="1"/>
  <c r="J61" i="1" s="1"/>
  <c r="I61" i="1"/>
  <c r="K61" i="1" s="1"/>
  <c r="H60" i="1"/>
  <c r="I60" i="1"/>
  <c r="G54" i="6" l="1"/>
  <c r="E25" i="2" s="1"/>
  <c r="L61" i="1"/>
  <c r="L63" i="1"/>
  <c r="L66" i="1"/>
  <c r="L68" i="1"/>
  <c r="L70" i="1"/>
  <c r="L65" i="1"/>
  <c r="E11" i="3"/>
  <c r="F11" i="3" s="1"/>
  <c r="E13" i="3"/>
  <c r="F13" i="3" s="1"/>
  <c r="E20" i="3"/>
  <c r="F20" i="3" s="1"/>
  <c r="E21" i="3"/>
  <c r="F21" i="3" s="1"/>
  <c r="E14" i="3"/>
  <c r="F14" i="3" s="1"/>
  <c r="E12" i="3"/>
  <c r="F12" i="3" s="1"/>
  <c r="J69" i="1"/>
  <c r="E22" i="3"/>
  <c r="K69" i="1"/>
  <c r="E23" i="3"/>
  <c r="E19" i="3"/>
  <c r="F19" i="3" s="1"/>
  <c r="I57" i="1"/>
  <c r="E10" i="3" s="1"/>
  <c r="H57" i="1"/>
  <c r="E9" i="3" s="1"/>
  <c r="K67" i="1"/>
  <c r="J67" i="1"/>
  <c r="K60" i="1"/>
  <c r="J60" i="1"/>
  <c r="K62" i="1"/>
  <c r="J62" i="1"/>
  <c r="K64" i="1"/>
  <c r="H64" i="1"/>
  <c r="E18" i="3" s="1"/>
  <c r="G29" i="4"/>
  <c r="D29" i="4"/>
  <c r="A29" i="4"/>
  <c r="B29" i="4"/>
  <c r="C29" i="4"/>
  <c r="A19" i="4"/>
  <c r="B19" i="4"/>
  <c r="C19" i="4"/>
  <c r="D19" i="4"/>
  <c r="E19" i="4"/>
  <c r="F19" i="4"/>
  <c r="G19" i="4"/>
  <c r="H19" i="4"/>
  <c r="I19" i="4"/>
  <c r="A20" i="4"/>
  <c r="B20" i="4"/>
  <c r="C20" i="4"/>
  <c r="D20" i="4"/>
  <c r="E20" i="4"/>
  <c r="F20" i="4"/>
  <c r="G20" i="4"/>
  <c r="H20" i="4"/>
  <c r="I20" i="4"/>
  <c r="A21" i="4"/>
  <c r="B21" i="4"/>
  <c r="C21" i="4"/>
  <c r="D21" i="4"/>
  <c r="E21" i="4"/>
  <c r="F21" i="4"/>
  <c r="G21" i="4"/>
  <c r="H21" i="4"/>
  <c r="I21" i="4"/>
  <c r="A22" i="4"/>
  <c r="B22" i="4"/>
  <c r="C22" i="4"/>
  <c r="D22" i="4"/>
  <c r="F22" i="4"/>
  <c r="G22" i="4"/>
  <c r="H22" i="4"/>
  <c r="I22" i="4"/>
  <c r="A23" i="4"/>
  <c r="B23" i="4"/>
  <c r="C23" i="4"/>
  <c r="D23" i="4"/>
  <c r="E23" i="4"/>
  <c r="F23" i="4"/>
  <c r="G23" i="4"/>
  <c r="H23" i="4"/>
  <c r="I23" i="4"/>
  <c r="A24" i="4"/>
  <c r="B24" i="4"/>
  <c r="C24" i="4"/>
  <c r="D24" i="4"/>
  <c r="E24" i="4"/>
  <c r="F24" i="4"/>
  <c r="G24" i="4"/>
  <c r="H24" i="4"/>
  <c r="I24" i="4"/>
  <c r="A25" i="4"/>
  <c r="B25" i="4"/>
  <c r="C25" i="4"/>
  <c r="D25" i="4"/>
  <c r="E25" i="4"/>
  <c r="F25" i="4"/>
  <c r="G25" i="4"/>
  <c r="H25" i="4"/>
  <c r="I25" i="4"/>
  <c r="A18" i="4"/>
  <c r="B18" i="4"/>
  <c r="C18" i="4"/>
  <c r="D18" i="4"/>
  <c r="E18" i="4"/>
  <c r="F18" i="4"/>
  <c r="G18" i="4"/>
  <c r="H18" i="4"/>
  <c r="I18" i="4"/>
  <c r="A13" i="4"/>
  <c r="A14" i="4"/>
  <c r="A12" i="4"/>
  <c r="H9" i="4"/>
  <c r="F9" i="4"/>
  <c r="C9" i="4"/>
  <c r="A9" i="4"/>
  <c r="D22" i="3"/>
  <c r="D20" i="3"/>
  <c r="D18" i="3"/>
  <c r="D13" i="3"/>
  <c r="D11" i="3"/>
  <c r="D9" i="3"/>
  <c r="L62" i="1" l="1"/>
  <c r="L69" i="1"/>
  <c r="L67" i="1"/>
  <c r="L60" i="1"/>
  <c r="G13" i="3"/>
  <c r="G11" i="3"/>
  <c r="G20" i="3"/>
  <c r="F9" i="3"/>
  <c r="J57" i="1"/>
  <c r="J64" i="1"/>
  <c r="L64" i="1" s="1"/>
  <c r="F18" i="3"/>
  <c r="G18" i="3" s="1"/>
  <c r="K57" i="1"/>
  <c r="F10" i="3"/>
  <c r="G12" i="11"/>
  <c r="T45" i="1"/>
  <c r="J9" i="4"/>
  <c r="E21" i="2" s="1"/>
  <c r="E6" i="6"/>
  <c r="F6" i="4"/>
  <c r="E6" i="3"/>
  <c r="C6" i="6"/>
  <c r="C6" i="4"/>
  <c r="D6" i="3"/>
  <c r="B57" i="6"/>
  <c r="A4" i="2"/>
  <c r="C34" i="4"/>
  <c r="E16" i="2"/>
  <c r="E17" i="2"/>
  <c r="E18" i="2"/>
  <c r="C15" i="2"/>
  <c r="C16" i="2"/>
  <c r="C17" i="2"/>
  <c r="C18" i="2"/>
  <c r="C14" i="2"/>
  <c r="F57" i="6"/>
  <c r="H34" i="4"/>
  <c r="F28" i="3"/>
  <c r="D57" i="6"/>
  <c r="F34" i="4"/>
  <c r="D28" i="3"/>
  <c r="B28" i="3"/>
  <c r="F58" i="6"/>
  <c r="H35" i="4"/>
  <c r="F29" i="3"/>
  <c r="F30" i="2"/>
  <c r="D58" i="6"/>
  <c r="F35" i="4"/>
  <c r="D29" i="3"/>
  <c r="D30" i="2"/>
  <c r="B58" i="6"/>
  <c r="C35" i="4"/>
  <c r="B29" i="3"/>
  <c r="B30" i="2"/>
  <c r="D29" i="2"/>
  <c r="B29" i="2"/>
  <c r="F29" i="2"/>
  <c r="F11" i="2"/>
  <c r="C11" i="2"/>
  <c r="A11" i="2"/>
  <c r="H9" i="2"/>
  <c r="G9" i="2"/>
  <c r="E9" i="2"/>
  <c r="D9" i="2"/>
  <c r="B9" i="2"/>
  <c r="A9" i="2"/>
  <c r="G7" i="2"/>
  <c r="E7" i="2"/>
  <c r="D7" i="2"/>
  <c r="A7" i="2"/>
  <c r="L57" i="1" l="1"/>
  <c r="G11" i="11"/>
  <c r="G9" i="3"/>
  <c r="G15" i="3" s="1"/>
  <c r="E19" i="2" l="1"/>
  <c r="H24" i="2" l="1"/>
  <c r="A6" i="11"/>
  <c r="K92" i="1"/>
  <c r="K93" i="1"/>
  <c r="J19" i="4" s="1"/>
  <c r="K94" i="1"/>
  <c r="J20" i="4" s="1"/>
  <c r="K95" i="1"/>
  <c r="J21" i="4" s="1"/>
  <c r="K96" i="1"/>
  <c r="J22" i="4" s="1"/>
  <c r="K97" i="1"/>
  <c r="J23" i="4" s="1"/>
  <c r="K98" i="1"/>
  <c r="J24" i="4" s="1"/>
  <c r="K99" i="1"/>
  <c r="J25" i="4" s="1"/>
  <c r="K91" i="1"/>
  <c r="J6" i="9" l="1"/>
  <c r="D6" i="9"/>
  <c r="J18" i="4"/>
  <c r="B7" i="2"/>
  <c r="A6" i="6"/>
  <c r="A6" i="4"/>
  <c r="A6" i="3"/>
  <c r="K105" i="1" l="1"/>
  <c r="K100" i="1" s="1"/>
  <c r="E23" i="2" s="1"/>
  <c r="K103" i="1"/>
  <c r="J26" i="4" l="1"/>
  <c r="J29" i="4"/>
  <c r="H56" i="1"/>
  <c r="I56" i="1" l="1"/>
  <c r="K56" i="1" s="1"/>
  <c r="J30" i="4"/>
  <c r="E22" i="2"/>
  <c r="H21" i="2" s="1"/>
  <c r="F23" i="3"/>
  <c r="J56" i="1"/>
  <c r="B50" i="1"/>
  <c r="B18" i="2" s="1"/>
  <c r="B14" i="2"/>
  <c r="S45" i="1"/>
  <c r="B47" i="1"/>
  <c r="B15" i="2" s="1"/>
  <c r="B49" i="1"/>
  <c r="B17" i="2" s="1"/>
  <c r="B48" i="1"/>
  <c r="B16" i="2" s="1"/>
  <c r="L45" i="1"/>
  <c r="N45" i="1"/>
  <c r="M45" i="1"/>
  <c r="O45" i="1"/>
  <c r="K45" i="1"/>
  <c r="R45" i="1"/>
  <c r="P45" i="1"/>
  <c r="Q45" i="1"/>
  <c r="L56" i="1" l="1"/>
  <c r="I45" i="1"/>
  <c r="I6" i="9"/>
  <c r="F22" i="3"/>
  <c r="G22" i="3" s="1"/>
  <c r="E50" i="1" l="1"/>
  <c r="E49" i="1"/>
  <c r="F49" i="1" s="1"/>
  <c r="E46" i="1"/>
  <c r="F46" i="1" s="1"/>
  <c r="E48" i="1"/>
  <c r="F48" i="1" s="1"/>
  <c r="E47" i="1"/>
  <c r="F47" i="1" s="1"/>
  <c r="F50" i="1" l="1"/>
  <c r="G18" i="2" s="1"/>
  <c r="F18" i="2"/>
  <c r="G24" i="3"/>
  <c r="G17" i="2"/>
  <c r="F17" i="2"/>
  <c r="G15" i="2"/>
  <c r="F15" i="2"/>
  <c r="G16" i="2"/>
  <c r="F16" i="2"/>
  <c r="F14" i="2"/>
  <c r="E20" i="2" l="1"/>
  <c r="H19" i="2" s="1"/>
  <c r="G6" i="9" s="1"/>
  <c r="G25" i="3"/>
  <c r="G14" i="2"/>
  <c r="G46" i="1"/>
  <c r="H14" i="2" s="1"/>
  <c r="H6" i="9" s="1"/>
  <c r="H26" i="2" l="1"/>
  <c r="K6" i="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131" authorId="0" shapeId="0" xr:uid="{9696364F-A435-4CBB-9ABC-DCB08E57CBCB}">
      <text>
        <r>
          <rPr>
            <b/>
            <sz val="9"/>
            <color indexed="81"/>
            <rFont val="Tahoma"/>
            <family val="2"/>
          </rPr>
          <t>2016.2.28.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</text>
    </comment>
    <comment ref="I132" authorId="0" shapeId="0" xr:uid="{A28E1AEB-0347-492F-8C1E-95FCB1A1EED2}">
      <text>
        <r>
          <rPr>
            <b/>
            <sz val="9"/>
            <color indexed="81"/>
            <rFont val="Tahoma"/>
            <family val="2"/>
          </rPr>
          <t>2016.3.1.</t>
        </r>
        <r>
          <rPr>
            <b/>
            <sz val="9"/>
            <color indexed="81"/>
            <rFont val="돋움"/>
            <family val="3"/>
            <charset val="129"/>
          </rPr>
          <t>이후</t>
        </r>
      </text>
    </comment>
  </commentList>
</comments>
</file>

<file path=xl/sharedStrings.xml><?xml version="1.0" encoding="utf-8"?>
<sst xmlns="http://schemas.openxmlformats.org/spreadsheetml/2006/main" count="4256" uniqueCount="1794">
  <si>
    <t xml:space="preserve">기관번호 </t>
  </si>
  <si>
    <t>소속기관</t>
  </si>
  <si>
    <t>직위</t>
  </si>
  <si>
    <t>생년월일</t>
  </si>
  <si>
    <t>최종학력</t>
  </si>
  <si>
    <t>전공과목</t>
  </si>
  <si>
    <t>취득일</t>
  </si>
  <si>
    <t>상응직경력</t>
  </si>
  <si>
    <t>휴대폰</t>
  </si>
  <si>
    <t>생활근거지</t>
  </si>
  <si>
    <t>평정연도</t>
  </si>
  <si>
    <t>평정점</t>
  </si>
  <si>
    <t>반영비율</t>
  </si>
  <si>
    <t>환산점</t>
  </si>
  <si>
    <t>합계</t>
  </si>
  <si>
    <t>기본경력</t>
  </si>
  <si>
    <t>초과경력</t>
  </si>
  <si>
    <t>자격연수성적</t>
  </si>
  <si>
    <t>직무연수성적</t>
  </si>
  <si>
    <t>구분</t>
  </si>
  <si>
    <t>평정자</t>
  </si>
  <si>
    <t>확인자</t>
  </si>
  <si>
    <t>성명</t>
  </si>
  <si>
    <t>날인</t>
  </si>
  <si>
    <t>소속</t>
  </si>
  <si>
    <t>경력별</t>
  </si>
  <si>
    <t>근무처 직명</t>
  </si>
  <si>
    <t>재직기간</t>
  </si>
  <si>
    <t>가경력</t>
  </si>
  <si>
    <t>나경력</t>
  </si>
  <si>
    <t>다경력</t>
  </si>
  <si>
    <t>소계</t>
  </si>
  <si>
    <t>교육명</t>
  </si>
  <si>
    <t>교육기간</t>
  </si>
  <si>
    <t>교육시간</t>
  </si>
  <si>
    <t>교육성적</t>
  </si>
  <si>
    <t>환산성적</t>
  </si>
  <si>
    <t>주관기관</t>
  </si>
  <si>
    <t>대회명</t>
  </si>
  <si>
    <t>입상일</t>
  </si>
  <si>
    <t>전국규모</t>
  </si>
  <si>
    <t>시․도규모</t>
  </si>
  <si>
    <t>학위명</t>
  </si>
  <si>
    <t>수여기관</t>
  </si>
  <si>
    <t>종류</t>
  </si>
  <si>
    <t>근무기관</t>
  </si>
  <si>
    <t>근무기간</t>
  </si>
  <si>
    <t>연수기간</t>
  </si>
  <si>
    <t>가산점</t>
  </si>
  <si>
    <t>기관번호</t>
    <phoneticPr fontId="3" type="noConversion"/>
  </si>
  <si>
    <t>소속기관명</t>
    <phoneticPr fontId="3" type="noConversion"/>
  </si>
  <si>
    <t>성명</t>
    <phoneticPr fontId="3" type="noConversion"/>
  </si>
  <si>
    <t>최종학력</t>
    <phoneticPr fontId="3" type="noConversion"/>
  </si>
  <si>
    <t>전공과목</t>
    <phoneticPr fontId="3" type="noConversion"/>
  </si>
  <si>
    <t>취득일</t>
    <phoneticPr fontId="3" type="noConversion"/>
  </si>
  <si>
    <t>상응직경력</t>
    <phoneticPr fontId="3" type="noConversion"/>
  </si>
  <si>
    <t>생년월일</t>
    <phoneticPr fontId="3" type="noConversion"/>
  </si>
  <si>
    <t>&lt;- 주민번호앞자리만</t>
    <phoneticPr fontId="3" type="noConversion"/>
  </si>
  <si>
    <t>휴대폰</t>
    <phoneticPr fontId="3" type="noConversion"/>
  </si>
  <si>
    <t>생활근거지</t>
    <phoneticPr fontId="3" type="noConversion"/>
  </si>
  <si>
    <t>평정점</t>
    <phoneticPr fontId="3" type="noConversion"/>
  </si>
  <si>
    <t>반영비율</t>
    <phoneticPr fontId="3" type="noConversion"/>
  </si>
  <si>
    <t>환산점</t>
    <phoneticPr fontId="3" type="noConversion"/>
  </si>
  <si>
    <t>경남교육연수원</t>
  </si>
  <si>
    <t>구분</t>
    <phoneticPr fontId="3" type="noConversion"/>
  </si>
  <si>
    <t>월수/일수</t>
  </si>
  <si>
    <t>교육명</t>
    <phoneticPr fontId="3" type="noConversion"/>
  </si>
  <si>
    <t>교육기간</t>
    <phoneticPr fontId="3" type="noConversion"/>
  </si>
  <si>
    <t>교육시간</t>
    <phoneticPr fontId="3" type="noConversion"/>
  </si>
  <si>
    <t>교육성적</t>
    <phoneticPr fontId="3" type="noConversion"/>
  </si>
  <si>
    <t>평정점</t>
    <phoneticPr fontId="3" type="noConversion"/>
  </si>
  <si>
    <t>1등급</t>
  </si>
  <si>
    <t>2등급</t>
  </si>
  <si>
    <t>3등급</t>
  </si>
  <si>
    <t>석사</t>
    <phoneticPr fontId="3" type="noConversion"/>
  </si>
  <si>
    <t>교육학석사</t>
    <phoneticPr fontId="3" type="noConversion"/>
  </si>
  <si>
    <t>박사</t>
    <phoneticPr fontId="3" type="noConversion"/>
  </si>
  <si>
    <t>기타</t>
    <phoneticPr fontId="3" type="noConversion"/>
  </si>
  <si>
    <t>-</t>
    <phoneticPr fontId="3" type="noConversion"/>
  </si>
  <si>
    <t>직무관련</t>
    <phoneticPr fontId="3" type="noConversion"/>
  </si>
  <si>
    <t>만점</t>
  </si>
  <si>
    <t>비고</t>
  </si>
  <si>
    <t>평정 기준일</t>
    <phoneticPr fontId="3" type="noConversion"/>
  </si>
  <si>
    <t>연수성적</t>
    <phoneticPr fontId="3" type="noConversion"/>
  </si>
  <si>
    <t>등급</t>
  </si>
  <si>
    <t>월</t>
    <phoneticPr fontId="3" type="noConversion"/>
  </si>
  <si>
    <t>기본
경력
15년</t>
    <phoneticPr fontId="3" type="noConversion"/>
  </si>
  <si>
    <t>초과
경력
60월</t>
    <phoneticPr fontId="3" type="noConversion"/>
  </si>
  <si>
    <t>중등학교1급정교사</t>
    <phoneticPr fontId="3" type="noConversion"/>
  </si>
  <si>
    <t>95점 초과</t>
  </si>
  <si>
    <t>85점 이하</t>
  </si>
  <si>
    <t>작성할 명부</t>
    <phoneticPr fontId="3" type="noConversion"/>
  </si>
  <si>
    <t>경상남도교육청</t>
    <phoneticPr fontId="3" type="noConversion"/>
  </si>
  <si>
    <t>중등교원학습지도연구대회</t>
    <phoneticPr fontId="3" type="noConversion"/>
  </si>
  <si>
    <t>4~</t>
    <phoneticPr fontId="3" type="noConversion"/>
  </si>
  <si>
    <t>한국대학교</t>
    <phoneticPr fontId="3" type="noConversion"/>
  </si>
  <si>
    <t>경원중</t>
  </si>
  <si>
    <t>동진중</t>
  </si>
  <si>
    <t>임호중</t>
  </si>
  <si>
    <t>양산중앙중</t>
  </si>
  <si>
    <t>양곡중</t>
  </si>
  <si>
    <t>동진여중</t>
  </si>
  <si>
    <t>영운중</t>
  </si>
  <si>
    <t>반송중</t>
  </si>
  <si>
    <t>안골포중</t>
  </si>
  <si>
    <t>경운중</t>
  </si>
  <si>
    <t>반송여중</t>
  </si>
  <si>
    <t>석동중</t>
  </si>
  <si>
    <t>가야중</t>
  </si>
  <si>
    <t>양주중</t>
  </si>
  <si>
    <t>창원중앙중</t>
  </si>
  <si>
    <t>용원중</t>
  </si>
  <si>
    <t>한얼중</t>
  </si>
  <si>
    <t>웅상중</t>
  </si>
  <si>
    <t>신월중</t>
  </si>
  <si>
    <t>진영여중</t>
  </si>
  <si>
    <t>원동중</t>
  </si>
  <si>
    <t>토월중</t>
  </si>
  <si>
    <t>진주중</t>
  </si>
  <si>
    <t>김해대동중</t>
  </si>
  <si>
    <t>웅상여중</t>
  </si>
  <si>
    <t>명서중</t>
  </si>
  <si>
    <t>진주남중</t>
  </si>
  <si>
    <t>생림중</t>
  </si>
  <si>
    <t>신주중</t>
  </si>
  <si>
    <t>봉림중</t>
  </si>
  <si>
    <t>진주중앙중</t>
  </si>
  <si>
    <t>월산중</t>
  </si>
  <si>
    <t>서창중</t>
  </si>
  <si>
    <t>반림중</t>
  </si>
  <si>
    <t>진주봉원중</t>
  </si>
  <si>
    <t>구산중</t>
  </si>
  <si>
    <t>범어중</t>
  </si>
  <si>
    <t>사파중</t>
  </si>
  <si>
    <t>진주여중</t>
  </si>
  <si>
    <t>김해삼계중</t>
  </si>
  <si>
    <t>웅남중</t>
  </si>
  <si>
    <t>진명여중</t>
  </si>
  <si>
    <t>능동중</t>
  </si>
  <si>
    <t>의령중</t>
  </si>
  <si>
    <t>봉곡중</t>
  </si>
  <si>
    <t>반성중</t>
  </si>
  <si>
    <t>관동중</t>
  </si>
  <si>
    <t>신반중</t>
  </si>
  <si>
    <t>남산중</t>
  </si>
  <si>
    <t>대곡중</t>
  </si>
  <si>
    <t>분성중</t>
  </si>
  <si>
    <t>함안중</t>
  </si>
  <si>
    <t>대방중</t>
  </si>
  <si>
    <t>문산중</t>
  </si>
  <si>
    <t>김해대곡중</t>
  </si>
  <si>
    <t>법수중</t>
  </si>
  <si>
    <t>안남중</t>
  </si>
  <si>
    <t>명석중</t>
  </si>
  <si>
    <t>내덕중</t>
  </si>
  <si>
    <t>호암중</t>
  </si>
  <si>
    <t>지수중</t>
  </si>
  <si>
    <t>진영중</t>
  </si>
  <si>
    <t>창녕중</t>
  </si>
  <si>
    <t>창원상남중</t>
  </si>
  <si>
    <t>금곡중</t>
  </si>
  <si>
    <t>봉명중</t>
  </si>
  <si>
    <t>영산중</t>
  </si>
  <si>
    <t>창덕중</t>
  </si>
  <si>
    <t>진서중</t>
  </si>
  <si>
    <t>활천중</t>
  </si>
  <si>
    <t>부곡중</t>
  </si>
  <si>
    <t>창북중</t>
  </si>
  <si>
    <t>진주제일중</t>
  </si>
  <si>
    <t>율하중</t>
  </si>
  <si>
    <t>고성중</t>
  </si>
  <si>
    <t>명곡여중</t>
  </si>
  <si>
    <t>개양중</t>
  </si>
  <si>
    <t>대청중</t>
  </si>
  <si>
    <t>안민중</t>
  </si>
  <si>
    <t>고성여중</t>
  </si>
  <si>
    <t>삼정자중</t>
  </si>
  <si>
    <t>통영중</t>
  </si>
  <si>
    <t>밀양중</t>
  </si>
  <si>
    <t>고성동중</t>
  </si>
  <si>
    <t>도계중</t>
  </si>
  <si>
    <t>통영중앙중</t>
  </si>
  <si>
    <t>밀양여중</t>
  </si>
  <si>
    <t>회화중</t>
  </si>
  <si>
    <t>창원동중</t>
  </si>
  <si>
    <t>충무중</t>
  </si>
  <si>
    <t>영천중</t>
  </si>
  <si>
    <t>마산중</t>
  </si>
  <si>
    <t>통영여중</t>
  </si>
  <si>
    <t>마산동중</t>
  </si>
  <si>
    <t>충무여중</t>
  </si>
  <si>
    <t>동해중</t>
  </si>
  <si>
    <t>양덕중</t>
  </si>
  <si>
    <t>산양중</t>
  </si>
  <si>
    <t>무안중</t>
  </si>
  <si>
    <t>마산서중</t>
  </si>
  <si>
    <t>도산중</t>
  </si>
  <si>
    <t>남해중</t>
  </si>
  <si>
    <t>구암중</t>
  </si>
  <si>
    <t>한산중</t>
  </si>
  <si>
    <t>옥포중</t>
  </si>
  <si>
    <t>남해여중</t>
  </si>
  <si>
    <t>해운중</t>
  </si>
  <si>
    <t>사량중</t>
  </si>
  <si>
    <t>거제고현중</t>
  </si>
  <si>
    <t>합포중</t>
  </si>
  <si>
    <t>욕지중</t>
  </si>
  <si>
    <t>신현중</t>
  </si>
  <si>
    <t>마산여중</t>
  </si>
  <si>
    <t>거제중앙중</t>
  </si>
  <si>
    <t>양덕여중</t>
  </si>
  <si>
    <t>삼천포제일중</t>
  </si>
  <si>
    <t>성포중</t>
  </si>
  <si>
    <t>합포여중</t>
  </si>
  <si>
    <t>삼천포중앙여중</t>
  </si>
  <si>
    <t>거제제일중</t>
  </si>
  <si>
    <t>사천중</t>
  </si>
  <si>
    <t>하청중</t>
  </si>
  <si>
    <t>하동중앙중</t>
  </si>
  <si>
    <t>내서중</t>
  </si>
  <si>
    <t>곤양중</t>
  </si>
  <si>
    <t>연초중</t>
  </si>
  <si>
    <t>화개중</t>
  </si>
  <si>
    <t>삼계중</t>
  </si>
  <si>
    <t>서포중</t>
  </si>
  <si>
    <t>지세포중</t>
  </si>
  <si>
    <t>악양중</t>
  </si>
  <si>
    <t>진전중</t>
  </si>
  <si>
    <t>사천여중</t>
  </si>
  <si>
    <t>동부중</t>
  </si>
  <si>
    <t>김해중</t>
  </si>
  <si>
    <t>계룡중</t>
  </si>
  <si>
    <t>청암중</t>
  </si>
  <si>
    <t>김해서중</t>
  </si>
  <si>
    <t>옥포성지중</t>
  </si>
  <si>
    <t>금남중</t>
  </si>
  <si>
    <t>호계중</t>
  </si>
  <si>
    <t>김해여중</t>
  </si>
  <si>
    <t>수월중</t>
  </si>
  <si>
    <t>진교중</t>
  </si>
  <si>
    <t>광려중</t>
  </si>
  <si>
    <t>내동중</t>
  </si>
  <si>
    <t>진해중</t>
  </si>
  <si>
    <t>신어중</t>
  </si>
  <si>
    <t>양산중</t>
  </si>
  <si>
    <t>옥종중</t>
  </si>
  <si>
    <t>진해여중</t>
  </si>
  <si>
    <t>삼정중</t>
  </si>
  <si>
    <t>삼성중</t>
  </si>
  <si>
    <t>산청중</t>
  </si>
  <si>
    <t>밀양고</t>
  </si>
  <si>
    <t>밀양여고</t>
  </si>
  <si>
    <t>합천고</t>
  </si>
  <si>
    <t>밀양전자고</t>
  </si>
  <si>
    <t>삼가고</t>
  </si>
  <si>
    <t>진해여고</t>
  </si>
  <si>
    <t>거제중앙고</t>
  </si>
  <si>
    <t>초계고</t>
  </si>
  <si>
    <t>덕산중</t>
  </si>
  <si>
    <t>웅천고</t>
  </si>
  <si>
    <t>거제제일고</t>
  </si>
  <si>
    <t>야로고</t>
  </si>
  <si>
    <t>단성중</t>
  </si>
  <si>
    <t>진해용원고</t>
  </si>
  <si>
    <t>거제옥포고</t>
  </si>
  <si>
    <t>신등중</t>
  </si>
  <si>
    <t>함양중</t>
  </si>
  <si>
    <t>진주고</t>
  </si>
  <si>
    <t>경남산업고</t>
  </si>
  <si>
    <t>함양여중</t>
  </si>
  <si>
    <t>진주여고</t>
  </si>
  <si>
    <t>거제공고</t>
  </si>
  <si>
    <t>경남혜림학교</t>
  </si>
  <si>
    <t>마천중</t>
  </si>
  <si>
    <t>명신고</t>
  </si>
  <si>
    <t>연초고</t>
  </si>
  <si>
    <t>진주혜광학교</t>
  </si>
  <si>
    <t>수동중</t>
  </si>
  <si>
    <t>거제상문고</t>
  </si>
  <si>
    <t>경남은혜학교</t>
  </si>
  <si>
    <t>서상중</t>
  </si>
  <si>
    <t>경남정보고</t>
  </si>
  <si>
    <t>양산고</t>
  </si>
  <si>
    <t>거창중</t>
  </si>
  <si>
    <t>대곡고</t>
  </si>
  <si>
    <t>웅상고</t>
  </si>
  <si>
    <t>통영잠포학교</t>
  </si>
  <si>
    <t>진양고</t>
  </si>
  <si>
    <t>양산남부고</t>
  </si>
  <si>
    <t>양산희망학교</t>
  </si>
  <si>
    <t>거창여중</t>
  </si>
  <si>
    <t>경남과학고</t>
  </si>
  <si>
    <t>물금고</t>
  </si>
  <si>
    <t>웅양중</t>
  </si>
  <si>
    <t>경남체육고</t>
  </si>
  <si>
    <t>서창고</t>
  </si>
  <si>
    <t>진서고</t>
  </si>
  <si>
    <t>범어고</t>
  </si>
  <si>
    <t>진주중앙고</t>
  </si>
  <si>
    <t>의령고</t>
  </si>
  <si>
    <t>가조중</t>
  </si>
  <si>
    <t>통영고</t>
  </si>
  <si>
    <t>신반정보고</t>
  </si>
  <si>
    <t>합천중</t>
  </si>
  <si>
    <t>통영여고</t>
  </si>
  <si>
    <t>함안고</t>
  </si>
  <si>
    <t>충무고</t>
  </si>
  <si>
    <t>야로중</t>
  </si>
  <si>
    <t>삼천포공고</t>
  </si>
  <si>
    <t>영산고</t>
  </si>
  <si>
    <t>초계중</t>
  </si>
  <si>
    <t>삼천포중앙고</t>
  </si>
  <si>
    <t>고성중앙고</t>
  </si>
  <si>
    <t>경남자영고</t>
  </si>
  <si>
    <t>경남항공고</t>
  </si>
  <si>
    <t>삼가중</t>
  </si>
  <si>
    <t>곤양고</t>
  </si>
  <si>
    <t>남해제일고</t>
  </si>
  <si>
    <t>김해고</t>
  </si>
  <si>
    <t>경남해양과학고</t>
  </si>
  <si>
    <t>창원중앙고</t>
  </si>
  <si>
    <t>김해여고</t>
  </si>
  <si>
    <t>남해정보산업고</t>
  </si>
  <si>
    <t>창원기계공고</t>
  </si>
  <si>
    <t>김해가야고</t>
  </si>
  <si>
    <t>하동고</t>
  </si>
  <si>
    <t>창원여고</t>
  </si>
  <si>
    <t>김해경원고</t>
  </si>
  <si>
    <t>진교고</t>
  </si>
  <si>
    <t>창원명지여고</t>
  </si>
  <si>
    <t>진영제일고</t>
  </si>
  <si>
    <t>옥종고</t>
  </si>
  <si>
    <t>창원남산고</t>
  </si>
  <si>
    <t>진영고</t>
  </si>
  <si>
    <t>금남고</t>
  </si>
  <si>
    <t>창원중앙여고</t>
  </si>
  <si>
    <t>장유고</t>
  </si>
  <si>
    <t>산청고</t>
  </si>
  <si>
    <t>창원사파고</t>
  </si>
  <si>
    <t>김해건설공고</t>
  </si>
  <si>
    <t>창원용호고</t>
  </si>
  <si>
    <t>김해생명과학고</t>
  </si>
  <si>
    <t>창원봉림고</t>
  </si>
  <si>
    <t>김해분성고</t>
  </si>
  <si>
    <t>덕산고</t>
  </si>
  <si>
    <t>창원신월고</t>
  </si>
  <si>
    <t>김해대청고</t>
  </si>
  <si>
    <t>단성고</t>
  </si>
  <si>
    <t>경상남도교육청</t>
  </si>
  <si>
    <t>창원명곡고</t>
  </si>
  <si>
    <t>김해분성여고</t>
  </si>
  <si>
    <t>신등고</t>
  </si>
  <si>
    <t>창원대암고</t>
  </si>
  <si>
    <t>김해삼문고</t>
  </si>
  <si>
    <t>함양고</t>
  </si>
  <si>
    <t>경남교육연구정보원</t>
  </si>
  <si>
    <t>창원토월고</t>
  </si>
  <si>
    <t>김해영운고</t>
  </si>
  <si>
    <t>함양제일고</t>
  </si>
  <si>
    <t>경남과학교육원</t>
  </si>
  <si>
    <t>창원과학고</t>
  </si>
  <si>
    <t>서상고</t>
  </si>
  <si>
    <t>마산고</t>
  </si>
  <si>
    <t>김해삼방고</t>
  </si>
  <si>
    <t>안의고</t>
  </si>
  <si>
    <t>마산여고</t>
  </si>
  <si>
    <t>김해제일고</t>
  </si>
  <si>
    <t>아림고</t>
  </si>
  <si>
    <t>마산용마고</t>
  </si>
  <si>
    <t>김해율하고</t>
  </si>
  <si>
    <t>합포고</t>
  </si>
  <si>
    <t>김해임호고</t>
  </si>
  <si>
    <t>거창여고</t>
  </si>
  <si>
    <t>마산가포고</t>
  </si>
  <si>
    <t>월수</t>
    <phoneticPr fontId="3" type="noConversion"/>
  </si>
  <si>
    <t>일수</t>
    <phoneticPr fontId="3" type="noConversion"/>
  </si>
  <si>
    <t>만월</t>
    <phoneticPr fontId="3" type="noConversion"/>
  </si>
  <si>
    <t>만월</t>
    <phoneticPr fontId="3" type="noConversion"/>
  </si>
  <si>
    <t>도중
월수</t>
    <phoneticPr fontId="3" type="noConversion"/>
  </si>
  <si>
    <t>만월</t>
    <phoneticPr fontId="3" type="noConversion"/>
  </si>
  <si>
    <t>연구자수는 한 줄에 하나씩만 입력함</t>
    <phoneticPr fontId="3" type="noConversion"/>
  </si>
  <si>
    <t>공동연구자가 4명 이상인 경우 모두 4로 입력함</t>
    <phoneticPr fontId="3" type="noConversion"/>
  </si>
  <si>
    <t>1. 대상자</t>
  </si>
  <si>
    <t>성명(한글)</t>
  </si>
  <si>
    <t>2. 평정점</t>
  </si>
  <si>
    <t>3. 확인 날인</t>
  </si>
  <si>
    <t>평정자</t>
    <phoneticPr fontId="3" type="noConversion"/>
  </si>
  <si>
    <t>확인자</t>
    <phoneticPr fontId="3" type="noConversion"/>
  </si>
  <si>
    <t>소속</t>
    <phoneticPr fontId="3" type="noConversion"/>
  </si>
  <si>
    <t>직위</t>
    <phoneticPr fontId="3" type="noConversion"/>
  </si>
  <si>
    <t>날인</t>
    <phoneticPr fontId="3" type="noConversion"/>
  </si>
  <si>
    <t>(인)</t>
    <phoneticPr fontId="3" type="noConversion"/>
  </si>
  <si>
    <t>성명</t>
    <phoneticPr fontId="3" type="noConversion"/>
  </si>
  <si>
    <t>소속</t>
    <phoneticPr fontId="3" type="noConversion"/>
  </si>
  <si>
    <t>직위</t>
    <phoneticPr fontId="3" type="noConversion"/>
  </si>
  <si>
    <t>&lt;- 홍길동(띄어쓰지 말고)</t>
    <phoneticPr fontId="3" type="noConversion"/>
  </si>
  <si>
    <t>(인)</t>
    <phoneticPr fontId="3" type="noConversion"/>
  </si>
  <si>
    <t>(인)</t>
    <phoneticPr fontId="3" type="noConversion"/>
  </si>
  <si>
    <t>기본
경력</t>
    <phoneticPr fontId="3" type="noConversion"/>
  </si>
  <si>
    <t>초과
경력</t>
    <phoneticPr fontId="3" type="noConversion"/>
  </si>
  <si>
    <t>2. 자격연수성적 평정</t>
  </si>
  <si>
    <t>4. 연구대회입상실적 평정</t>
  </si>
  <si>
    <t>5. 학위취득실적 평정</t>
  </si>
  <si>
    <t>7. 확인 날인</t>
  </si>
  <si>
    <t>2. 직무연수실적 평정</t>
  </si>
  <si>
    <t>3. 합계</t>
  </si>
  <si>
    <t>4. 확인 날인</t>
  </si>
  <si>
    <t>인정율</t>
    <phoneticPr fontId="3" type="noConversion"/>
  </si>
  <si>
    <t>-</t>
    <phoneticPr fontId="3" type="noConversion"/>
  </si>
  <si>
    <t>일</t>
    <phoneticPr fontId="3" type="noConversion"/>
  </si>
  <si>
    <t>합계</t>
    <phoneticPr fontId="3" type="noConversion"/>
  </si>
  <si>
    <t>근무성적</t>
    <phoneticPr fontId="3" type="noConversion"/>
  </si>
  <si>
    <t>합계</t>
    <phoneticPr fontId="3" type="noConversion"/>
  </si>
  <si>
    <t>종류</t>
    <phoneticPr fontId="3" type="noConversion"/>
  </si>
  <si>
    <t>!</t>
    <phoneticPr fontId="3" type="noConversion"/>
  </si>
  <si>
    <t>대상자</t>
    <phoneticPr fontId="3" type="noConversion"/>
  </si>
  <si>
    <t>평정자</t>
    <phoneticPr fontId="3" type="noConversion"/>
  </si>
  <si>
    <t>확인자</t>
    <phoneticPr fontId="3" type="noConversion"/>
  </si>
  <si>
    <t>1. 인적사항</t>
    <phoneticPr fontId="3" type="noConversion"/>
  </si>
  <si>
    <t>2. 근무성적 평정</t>
    <phoneticPr fontId="3" type="noConversion"/>
  </si>
  <si>
    <t>3. 경력 평정</t>
    <phoneticPr fontId="3" type="noConversion"/>
  </si>
  <si>
    <t>4. 연수성적 평정</t>
    <phoneticPr fontId="3" type="noConversion"/>
  </si>
  <si>
    <t>연구자수별</t>
    <phoneticPr fontId="3" type="noConversion"/>
  </si>
  <si>
    <t>근무기관명</t>
    <phoneticPr fontId="3" type="noConversion"/>
  </si>
  <si>
    <t>근무기관</t>
    <phoneticPr fontId="3" type="noConversion"/>
  </si>
  <si>
    <t>연수기관</t>
    <phoneticPr fontId="3" type="noConversion"/>
  </si>
  <si>
    <t>경남교육연수원</t>
    <phoneticPr fontId="3" type="noConversion"/>
  </si>
  <si>
    <t>근무기간</t>
    <phoneticPr fontId="3" type="noConversion"/>
  </si>
  <si>
    <t>한국고</t>
    <phoneticPr fontId="3" type="noConversion"/>
  </si>
  <si>
    <t>발명교육</t>
    <phoneticPr fontId="3" type="noConversion"/>
  </si>
  <si>
    <t>경로효행</t>
    <phoneticPr fontId="3" type="noConversion"/>
  </si>
  <si>
    <t>기술자격취득</t>
    <phoneticPr fontId="3" type="noConversion"/>
  </si>
  <si>
    <t>끝</t>
    <phoneticPr fontId="3" type="noConversion"/>
  </si>
  <si>
    <t>보직교사
경력</t>
    <phoneticPr fontId="3" type="noConversion"/>
  </si>
  <si>
    <t>시작일</t>
    <phoneticPr fontId="3" type="noConversion"/>
  </si>
  <si>
    <t>잔일</t>
    <phoneticPr fontId="3" type="noConversion"/>
  </si>
  <si>
    <t>잔일</t>
    <phoneticPr fontId="3" type="noConversion"/>
  </si>
  <si>
    <t>시작월</t>
    <phoneticPr fontId="3" type="noConversion"/>
  </si>
  <si>
    <t>종료월</t>
    <phoneticPr fontId="3" type="noConversion"/>
  </si>
  <si>
    <t>잔일</t>
    <phoneticPr fontId="3" type="noConversion"/>
  </si>
  <si>
    <t>60~</t>
    <phoneticPr fontId="3" type="noConversion"/>
  </si>
  <si>
    <t>연수시간</t>
    <phoneticPr fontId="3" type="noConversion"/>
  </si>
  <si>
    <t>평정기준</t>
    <phoneticPr fontId="3" type="noConversion"/>
  </si>
  <si>
    <t>연수기관</t>
    <phoneticPr fontId="3" type="noConversion"/>
  </si>
  <si>
    <t>근무기관</t>
    <phoneticPr fontId="3" type="noConversion"/>
  </si>
  <si>
    <t>연수기간</t>
    <phoneticPr fontId="3" type="noConversion"/>
  </si>
  <si>
    <t>연수시간</t>
    <phoneticPr fontId="3" type="noConversion"/>
  </si>
  <si>
    <t>합계</t>
    <phoneticPr fontId="3" type="noConversion"/>
  </si>
  <si>
    <t>&lt;- 목록에서 선택</t>
    <phoneticPr fontId="3" type="noConversion"/>
  </si>
  <si>
    <t>연구실적</t>
    <phoneticPr fontId="3" type="noConversion"/>
  </si>
  <si>
    <t>학교폭력직무연수</t>
    <phoneticPr fontId="3" type="noConversion"/>
  </si>
  <si>
    <t>&lt;- [교감]을 선택한 경우에만 유효함</t>
    <phoneticPr fontId="3" type="noConversion"/>
  </si>
  <si>
    <t>- 다른 명부를 선택한 경우라면, 교육성적 1점당 0.05점씩 차감됨</t>
    <phoneticPr fontId="3" type="noConversion"/>
  </si>
  <si>
    <t>한국여고</t>
  </si>
  <si>
    <t>한국여고</t>
    <phoneticPr fontId="3" type="noConversion"/>
  </si>
  <si>
    <t>평정점</t>
    <phoneticPr fontId="3" type="noConversion"/>
  </si>
  <si>
    <t>&lt;- 36월 이상 입력해야 계산됨</t>
    <phoneticPr fontId="3" type="noConversion"/>
  </si>
  <si>
    <t>[종료일]</t>
    <phoneticPr fontId="3" type="noConversion"/>
  </si>
  <si>
    <t>&lt;- 055-268-0246</t>
    <phoneticPr fontId="3" type="noConversion"/>
  </si>
  <si>
    <t>순위</t>
  </si>
  <si>
    <t>정기</t>
  </si>
  <si>
    <t>조정</t>
  </si>
  <si>
    <t>경력</t>
  </si>
  <si>
    <t>0. 평정기초</t>
    <phoneticPr fontId="3" type="noConversion"/>
  </si>
  <si>
    <t>&lt;- 인쇄할 필요 없음</t>
    <phoneticPr fontId="3" type="noConversion"/>
  </si>
  <si>
    <t>* [C13] [C14]에서 선택한 명부가</t>
    <phoneticPr fontId="3" type="noConversion"/>
  </si>
  <si>
    <t>&lt;- [C13]에서</t>
    <phoneticPr fontId="3" type="noConversion"/>
  </si>
  <si>
    <t>학력</t>
    <phoneticPr fontId="3" type="noConversion"/>
  </si>
  <si>
    <t>전화</t>
    <phoneticPr fontId="3" type="noConversion"/>
  </si>
  <si>
    <t>휴대폰</t>
    <phoneticPr fontId="3" type="noConversion"/>
  </si>
  <si>
    <t>전공
과목</t>
    <phoneticPr fontId="3" type="noConversion"/>
  </si>
  <si>
    <t>&lt;- 국어</t>
    <phoneticPr fontId="3" type="noConversion"/>
  </si>
  <si>
    <t>-</t>
  </si>
  <si>
    <t>&lt;- 010-1234-5678</t>
    <phoneticPr fontId="3" type="noConversion"/>
  </si>
  <si>
    <t>▲</t>
    <phoneticPr fontId="3" type="noConversion"/>
  </si>
  <si>
    <t>&lt;- 洪吉童</t>
    <phoneticPr fontId="3" type="noConversion"/>
  </si>
  <si>
    <t>기본경력 가15년(180월)은 만점(64점)으로 평정함</t>
    <phoneticPr fontId="3" type="noConversion"/>
  </si>
  <si>
    <t>초과경력 나5년(60월)은 만점(5점)으로 평정함</t>
    <phoneticPr fontId="3" type="noConversion"/>
  </si>
  <si>
    <t>날인</t>
    <phoneticPr fontId="3" type="noConversion"/>
  </si>
  <si>
    <t>(인)</t>
    <phoneticPr fontId="3" type="noConversion"/>
  </si>
  <si>
    <t>-</t>
    <phoneticPr fontId="3" type="noConversion"/>
  </si>
  <si>
    <t>구분</t>
    <phoneticPr fontId="3" type="noConversion"/>
  </si>
  <si>
    <t>경력</t>
    <phoneticPr fontId="3" type="noConversion"/>
  </si>
  <si>
    <t>연수성적</t>
    <phoneticPr fontId="3" type="noConversion"/>
  </si>
  <si>
    <t>가산점</t>
    <phoneticPr fontId="3" type="noConversion"/>
  </si>
  <si>
    <t>&lt;- 중등교장/중등교감/중등1정</t>
    <phoneticPr fontId="3" type="noConversion"/>
  </si>
  <si>
    <t>근무
성적</t>
    <phoneticPr fontId="3" type="noConversion"/>
  </si>
  <si>
    <t>연수
성적</t>
    <phoneticPr fontId="3" type="noConversion"/>
  </si>
  <si>
    <t>생년월일</t>
    <phoneticPr fontId="3" type="noConversion"/>
  </si>
  <si>
    <t>- [교감][자격연수신청자]이면, 교육성적 1점당 0.025점씩 차감되고</t>
    <phoneticPr fontId="3" type="noConversion"/>
  </si>
  <si>
    <r>
      <t xml:space="preserve">* </t>
    </r>
    <r>
      <rPr>
        <b/>
        <sz val="9"/>
        <color theme="0" tint="-0.499984740745262"/>
        <rFont val="굴림"/>
        <family val="3"/>
        <charset val="129"/>
      </rPr>
      <t>노란 셀</t>
    </r>
    <r>
      <rPr>
        <sz val="9"/>
        <color theme="0" tint="-0.499984740745262"/>
        <rFont val="굴림"/>
        <family val="3"/>
        <charset val="129"/>
      </rPr>
      <t>에만 자료를 입력하면, 제출할 평정서류가 자동으로 작성됨</t>
    </r>
    <phoneticPr fontId="3" type="noConversion"/>
  </si>
  <si>
    <t>* 파일 이름 예시 : 교장승진_○○고_홍길동.xls</t>
    <phoneticPr fontId="3" type="noConversion"/>
  </si>
  <si>
    <t>* 파일 이름 예시 : 교감자격_○○중_홍길서.xls</t>
    <phoneticPr fontId="3" type="noConversion"/>
  </si>
  <si>
    <r>
      <t>-&gt; 이 선택에 따라 아래</t>
    </r>
    <r>
      <rPr>
        <b/>
        <sz val="9"/>
        <color rgb="FF0000FF"/>
        <rFont val="굴림"/>
        <family val="3"/>
        <charset val="129"/>
      </rPr>
      <t/>
    </r>
    <phoneticPr fontId="3" type="noConversion"/>
  </si>
  <si>
    <r>
      <t>-&gt; 이 설정에 따라 아래</t>
    </r>
    <r>
      <rPr>
        <b/>
        <sz val="9"/>
        <color theme="0" tint="-0.499984740745262"/>
        <rFont val="굴림"/>
        <family val="3"/>
        <charset val="129"/>
      </rPr>
      <t xml:space="preserve"> [근무성적 평정연도]</t>
    </r>
    <r>
      <rPr>
        <sz val="9"/>
        <color theme="0" tint="-0.499984740745262"/>
        <rFont val="굴림"/>
        <family val="3"/>
        <charset val="129"/>
      </rPr>
      <t>가 자동으로 설정됨</t>
    </r>
    <phoneticPr fontId="3" type="noConversion"/>
  </si>
  <si>
    <r>
      <t xml:space="preserve">-&gt; </t>
    </r>
    <r>
      <rPr>
        <b/>
        <sz val="9"/>
        <color theme="0" tint="-0.499984740745262"/>
        <rFont val="굴림"/>
        <family val="3"/>
        <charset val="129"/>
      </rPr>
      <t>[자격연수성적 계산식]</t>
    </r>
    <r>
      <rPr>
        <sz val="9"/>
        <color theme="0" tint="-0.499984740745262"/>
        <rFont val="굴림"/>
        <family val="3"/>
        <charset val="129"/>
      </rPr>
      <t>과</t>
    </r>
    <r>
      <rPr>
        <b/>
        <sz val="9"/>
        <color theme="0" tint="-0.499984740745262"/>
        <rFont val="굴림"/>
        <family val="3"/>
        <charset val="129"/>
      </rPr>
      <t xml:space="preserve"> [종합평정표의 부제]</t>
    </r>
    <r>
      <rPr>
        <sz val="9"/>
        <color theme="0" tint="-0.499984740745262"/>
        <rFont val="굴림"/>
        <family val="3"/>
        <charset val="129"/>
      </rPr>
      <t>가 달라짐</t>
    </r>
    <phoneticPr fontId="3" type="noConversion"/>
  </si>
  <si>
    <t>한국중 교사 등</t>
    <phoneticPr fontId="3" type="noConversion"/>
  </si>
  <si>
    <t>관련</t>
    <phoneticPr fontId="3" type="noConversion"/>
  </si>
  <si>
    <t>▼</t>
    <phoneticPr fontId="3" type="noConversion"/>
  </si>
  <si>
    <t>(띄어쓰지 말고)</t>
    <phoneticPr fontId="3" type="noConversion"/>
  </si>
  <si>
    <t>(공통)재외파견경력</t>
    <phoneticPr fontId="3" type="noConversion"/>
  </si>
  <si>
    <t>준벽지근무경력</t>
    <phoneticPr fontId="3" type="noConversion"/>
  </si>
  <si>
    <t>1) 자격연수성적</t>
    <phoneticPr fontId="3" type="noConversion"/>
  </si>
  <si>
    <t>5.1. 경력 가산점 평정</t>
    <phoneticPr fontId="3" type="noConversion"/>
  </si>
  <si>
    <t>학교폭력대응</t>
    <phoneticPr fontId="3" type="noConversion"/>
  </si>
  <si>
    <t>소속기관</t>
    <phoneticPr fontId="3" type="noConversion"/>
  </si>
  <si>
    <t>평정대상</t>
    <phoneticPr fontId="3" type="noConversion"/>
  </si>
  <si>
    <t>5.2. 실적 가산점 평정</t>
    <phoneticPr fontId="3" type="noConversion"/>
  </si>
  <si>
    <t>최근실적부터 역순으로 작성</t>
    <phoneticPr fontId="3" type="noConversion"/>
  </si>
  <si>
    <t>최근경력부터 역순으로 작성</t>
    <phoneticPr fontId="3" type="noConversion"/>
  </si>
  <si>
    <t>최근경력부터 역순으로, 직위 단위로, 제외경력은 분리하여 제외하고 작성</t>
    <phoneticPr fontId="3" type="noConversion"/>
  </si>
  <si>
    <t>95점 이하</t>
    <phoneticPr fontId="3" type="noConversion"/>
  </si>
  <si>
    <t>90점 이하</t>
    <phoneticPr fontId="3" type="noConversion"/>
  </si>
  <si>
    <t>월수</t>
    <phoneticPr fontId="3" type="noConversion"/>
  </si>
  <si>
    <t>재직기간</t>
    <phoneticPr fontId="3" type="noConversion"/>
  </si>
  <si>
    <t>일수</t>
    <phoneticPr fontId="3" type="noConversion"/>
  </si>
  <si>
    <t>월점</t>
    <phoneticPr fontId="3" type="noConversion"/>
  </si>
  <si>
    <t>일점</t>
    <phoneticPr fontId="3" type="noConversion"/>
  </si>
  <si>
    <t>평정점</t>
    <phoneticPr fontId="3" type="noConversion"/>
  </si>
  <si>
    <t>월수 : 시작월과 종료월을 제외한 그 사이의 월수</t>
    <phoneticPr fontId="3" type="noConversion"/>
  </si>
  <si>
    <t>시작월의 초일에 시작했다면 1월을 추가하고, 아니면 잔여일수</t>
    <phoneticPr fontId="3" type="noConversion"/>
  </si>
  <si>
    <t>종료월의 말일에 종료했다면 1월을 추가하고, 아니면 잔여일수</t>
    <phoneticPr fontId="3" type="noConversion"/>
  </si>
  <si>
    <t>잔여일수 30일이 모이면 달올림</t>
    <phoneticPr fontId="3" type="noConversion"/>
  </si>
  <si>
    <t>예시</t>
    <phoneticPr fontId="3" type="noConversion"/>
  </si>
  <si>
    <t>기준</t>
    <phoneticPr fontId="3" type="noConversion"/>
  </si>
  <si>
    <t>월점</t>
    <phoneticPr fontId="3" type="noConversion"/>
  </si>
  <si>
    <t>일점</t>
    <phoneticPr fontId="3" type="noConversion"/>
  </si>
  <si>
    <t>▲</t>
    <phoneticPr fontId="3" type="noConversion"/>
  </si>
  <si>
    <t>3) 연구대회입상</t>
    <phoneticPr fontId="3" type="noConversion"/>
  </si>
  <si>
    <t>4) 학위취득</t>
    <phoneticPr fontId="3" type="noConversion"/>
  </si>
  <si>
    <t>[종료일]</t>
    <phoneticPr fontId="3" type="noConversion"/>
  </si>
  <si>
    <t>실적연도</t>
    <phoneticPr fontId="3" type="noConversion"/>
  </si>
  <si>
    <t>실적수</t>
    <phoneticPr fontId="3" type="noConversion"/>
  </si>
  <si>
    <t>&lt;- 합산 상한점 3점만 평정표에 반영됨</t>
    <phoneticPr fontId="3" type="noConversion"/>
  </si>
  <si>
    <t>6. 평정점 합계(2+3+4+5)</t>
    <phoneticPr fontId="3" type="noConversion"/>
  </si>
  <si>
    <t>수식완성0값숨기기</t>
    <phoneticPr fontId="3" type="noConversion"/>
  </si>
  <si>
    <t>평정 총점</t>
    <phoneticPr fontId="3" type="noConversion"/>
  </si>
  <si>
    <t>최상자격</t>
    <phoneticPr fontId="3" type="noConversion"/>
  </si>
  <si>
    <t>최상자격</t>
    <phoneticPr fontId="3" type="noConversion"/>
  </si>
  <si>
    <t>5. 확인 날인</t>
    <phoneticPr fontId="3" type="noConversion"/>
  </si>
  <si>
    <t>3. 기타실적 평정</t>
    <phoneticPr fontId="3" type="noConversion"/>
  </si>
  <si>
    <t>평정점</t>
    <phoneticPr fontId="3" type="noConversion"/>
  </si>
  <si>
    <t>4. 평정점 합계(2+3)</t>
    <phoneticPr fontId="3" type="noConversion"/>
  </si>
  <si>
    <t>종류</t>
    <phoneticPr fontId="3" type="noConversion"/>
  </si>
  <si>
    <t>학폭대응</t>
    <phoneticPr fontId="3" type="noConversion"/>
  </si>
  <si>
    <t>영재교육</t>
    <phoneticPr fontId="3" type="noConversion"/>
  </si>
  <si>
    <t>발명교육</t>
    <phoneticPr fontId="3" type="noConversion"/>
  </si>
  <si>
    <t>기술자격</t>
    <phoneticPr fontId="3" type="noConversion"/>
  </si>
  <si>
    <t>2. 경력 가산점 평정</t>
    <phoneticPr fontId="3" type="noConversion"/>
  </si>
  <si>
    <t>평정대상</t>
    <phoneticPr fontId="3" type="noConversion"/>
  </si>
  <si>
    <t>도서벽지</t>
    <phoneticPr fontId="3" type="noConversion"/>
  </si>
  <si>
    <t>준벽지</t>
    <phoneticPr fontId="3" type="noConversion"/>
  </si>
  <si>
    <t>특수학교
특수학급</t>
    <phoneticPr fontId="3" type="noConversion"/>
  </si>
  <si>
    <t>보직교사</t>
    <phoneticPr fontId="3" type="noConversion"/>
  </si>
  <si>
    <t>장학사
교육연구사</t>
    <phoneticPr fontId="3" type="noConversion"/>
  </si>
  <si>
    <t>담임교사</t>
    <phoneticPr fontId="3" type="noConversion"/>
  </si>
  <si>
    <t>종료일</t>
    <phoneticPr fontId="3" type="noConversion"/>
  </si>
  <si>
    <t>-</t>
    <phoneticPr fontId="3" type="noConversion"/>
  </si>
  <si>
    <t>경력가산점</t>
    <phoneticPr fontId="3" type="noConversion"/>
  </si>
  <si>
    <t>실적가산점</t>
    <phoneticPr fontId="3" type="noConversion"/>
  </si>
  <si>
    <t>-</t>
    <phoneticPr fontId="3" type="noConversion"/>
  </si>
  <si>
    <t>4. 확인 날인</t>
    <phoneticPr fontId="3" type="noConversion"/>
  </si>
  <si>
    <t>합계(2+3)</t>
    <phoneticPr fontId="3" type="noConversion"/>
  </si>
  <si>
    <t>* 규정과 요령을 숙독하여 평정업무를 이해하고 작성하기</t>
    <phoneticPr fontId="3" type="noConversion"/>
  </si>
  <si>
    <t>* 대상자의 NEIS 인사기록을 철저히 확인하여 작성하기</t>
    <phoneticPr fontId="3" type="noConversion"/>
  </si>
  <si>
    <t>* 파란 시트만 인쇄/날인하여 제출하고, 이 파일도 별도로 제출하기</t>
    <phoneticPr fontId="3" type="noConversion"/>
  </si>
  <si>
    <t>현직위임용일</t>
    <phoneticPr fontId="3" type="noConversion"/>
  </si>
  <si>
    <t>&lt;- 15-08-31</t>
    <phoneticPr fontId="3" type="noConversion"/>
  </si>
  <si>
    <t>상응직
경력</t>
    <phoneticPr fontId="3" type="noConversion"/>
  </si>
  <si>
    <t>정년
잔여</t>
    <phoneticPr fontId="3" type="noConversion"/>
  </si>
  <si>
    <t>정년</t>
    <phoneticPr fontId="3" type="noConversion"/>
  </si>
  <si>
    <t>자격</t>
    <phoneticPr fontId="3" type="noConversion"/>
  </si>
  <si>
    <t>자격취득일</t>
    <phoneticPr fontId="3" type="noConversion"/>
  </si>
  <si>
    <t>영재교육</t>
    <phoneticPr fontId="3" type="noConversion"/>
  </si>
  <si>
    <t>&lt;-연 실적입력</t>
  </si>
  <si>
    <t>&lt;-월 실적입력</t>
  </si>
  <si>
    <t>감계중</t>
  </si>
  <si>
    <t>구산분교</t>
  </si>
  <si>
    <t>중101</t>
    <phoneticPr fontId="3" type="noConversion"/>
  </si>
  <si>
    <t>중102</t>
    <phoneticPr fontId="3" type="noConversion"/>
  </si>
  <si>
    <t>중103</t>
  </si>
  <si>
    <t>중104</t>
  </si>
  <si>
    <t>중105</t>
  </si>
  <si>
    <t>중106</t>
  </si>
  <si>
    <t>중107</t>
  </si>
  <si>
    <t>중108</t>
  </si>
  <si>
    <t>중109</t>
  </si>
  <si>
    <t>중110</t>
  </si>
  <si>
    <t>중111</t>
  </si>
  <si>
    <t>중112</t>
  </si>
  <si>
    <t>중113</t>
  </si>
  <si>
    <t>중114</t>
  </si>
  <si>
    <t>중115</t>
  </si>
  <si>
    <t>중116</t>
  </si>
  <si>
    <t>중117</t>
  </si>
  <si>
    <t>중118</t>
  </si>
  <si>
    <t>중119</t>
  </si>
  <si>
    <t>중120</t>
  </si>
  <si>
    <t>중121</t>
  </si>
  <si>
    <t>중122</t>
  </si>
  <si>
    <t>중123</t>
  </si>
  <si>
    <t>중124</t>
  </si>
  <si>
    <t>중125</t>
  </si>
  <si>
    <t>중126</t>
  </si>
  <si>
    <t>중133</t>
  </si>
  <si>
    <t>중134</t>
  </si>
  <si>
    <t>중135</t>
  </si>
  <si>
    <t>중136</t>
  </si>
  <si>
    <t>중137</t>
  </si>
  <si>
    <t>중138</t>
  </si>
  <si>
    <t>중139</t>
  </si>
  <si>
    <t>중140</t>
  </si>
  <si>
    <t>중131</t>
    <phoneticPr fontId="3" type="noConversion"/>
  </si>
  <si>
    <t>중132</t>
    <phoneticPr fontId="3" type="noConversion"/>
  </si>
  <si>
    <t>중146</t>
  </si>
  <si>
    <t>중147</t>
  </si>
  <si>
    <t>중148</t>
  </si>
  <si>
    <t>중151</t>
    <phoneticPr fontId="3" type="noConversion"/>
  </si>
  <si>
    <t>중152</t>
    <phoneticPr fontId="3" type="noConversion"/>
  </si>
  <si>
    <t>중153</t>
  </si>
  <si>
    <t>중154</t>
  </si>
  <si>
    <t>중155</t>
  </si>
  <si>
    <t>중156</t>
  </si>
  <si>
    <t>중157</t>
  </si>
  <si>
    <t>중201</t>
    <phoneticPr fontId="3" type="noConversion"/>
  </si>
  <si>
    <t>중202</t>
    <phoneticPr fontId="3" type="noConversion"/>
  </si>
  <si>
    <t>중203</t>
  </si>
  <si>
    <t>중204</t>
  </si>
  <si>
    <t>중205</t>
  </si>
  <si>
    <t>중206</t>
  </si>
  <si>
    <t>중207</t>
  </si>
  <si>
    <t>중208</t>
  </si>
  <si>
    <t>중209</t>
  </si>
  <si>
    <t>중210</t>
  </si>
  <si>
    <t>중211</t>
  </si>
  <si>
    <t>중212</t>
  </si>
  <si>
    <t>중213</t>
  </si>
  <si>
    <t>중214</t>
  </si>
  <si>
    <t>중215</t>
  </si>
  <si>
    <t>중216</t>
  </si>
  <si>
    <t>중222</t>
    <phoneticPr fontId="3" type="noConversion"/>
  </si>
  <si>
    <t>중301</t>
    <phoneticPr fontId="3" type="noConversion"/>
  </si>
  <si>
    <t>중302</t>
    <phoneticPr fontId="3" type="noConversion"/>
  </si>
  <si>
    <t>중303</t>
  </si>
  <si>
    <t>중304</t>
  </si>
  <si>
    <t>중305</t>
  </si>
  <si>
    <t>중306</t>
  </si>
  <si>
    <t>중307</t>
  </si>
  <si>
    <t>중308</t>
  </si>
  <si>
    <t>중309</t>
  </si>
  <si>
    <t>중310</t>
  </si>
  <si>
    <t>중401</t>
    <phoneticPr fontId="3" type="noConversion"/>
  </si>
  <si>
    <t>중402</t>
    <phoneticPr fontId="3" type="noConversion"/>
  </si>
  <si>
    <t>중403</t>
  </si>
  <si>
    <t>중404</t>
  </si>
  <si>
    <t>중405</t>
  </si>
  <si>
    <t>중406</t>
  </si>
  <si>
    <t>중501</t>
    <phoneticPr fontId="3" type="noConversion"/>
  </si>
  <si>
    <t>중502</t>
    <phoneticPr fontId="3" type="noConversion"/>
  </si>
  <si>
    <t>중503</t>
  </si>
  <si>
    <t>중504</t>
  </si>
  <si>
    <t>중505</t>
  </si>
  <si>
    <t>수남중</t>
  </si>
  <si>
    <t>거제장평중</t>
  </si>
  <si>
    <t>중506</t>
  </si>
  <si>
    <t>중507</t>
  </si>
  <si>
    <t>중508</t>
  </si>
  <si>
    <t>중509</t>
  </si>
  <si>
    <t>중510</t>
  </si>
  <si>
    <t>중511</t>
  </si>
  <si>
    <t>중512</t>
  </si>
  <si>
    <t>중513</t>
  </si>
  <si>
    <t>중514</t>
  </si>
  <si>
    <t>중515</t>
  </si>
  <si>
    <t>중516</t>
  </si>
  <si>
    <t>중517</t>
  </si>
  <si>
    <t>중518</t>
  </si>
  <si>
    <t>중519</t>
  </si>
  <si>
    <t>중520</t>
  </si>
  <si>
    <t>중521</t>
  </si>
  <si>
    <t>중522</t>
  </si>
  <si>
    <t>중523</t>
  </si>
  <si>
    <t>중524</t>
  </si>
  <si>
    <t>중525</t>
  </si>
  <si>
    <t>중526</t>
  </si>
  <si>
    <t>중527</t>
  </si>
  <si>
    <t>중528</t>
  </si>
  <si>
    <t>중601</t>
    <phoneticPr fontId="3" type="noConversion"/>
  </si>
  <si>
    <t>중602</t>
    <phoneticPr fontId="3" type="noConversion"/>
  </si>
  <si>
    <t>중604</t>
  </si>
  <si>
    <t>중701</t>
    <phoneticPr fontId="3" type="noConversion"/>
  </si>
  <si>
    <t>중702</t>
    <phoneticPr fontId="3" type="noConversion"/>
  </si>
  <si>
    <t>중703</t>
  </si>
  <si>
    <t>중704</t>
  </si>
  <si>
    <t>중705</t>
  </si>
  <si>
    <t>중706</t>
  </si>
  <si>
    <t>중707</t>
  </si>
  <si>
    <t>중708</t>
  </si>
  <si>
    <t>중709</t>
  </si>
  <si>
    <t>중710</t>
  </si>
  <si>
    <t>중711</t>
  </si>
  <si>
    <t>중712</t>
  </si>
  <si>
    <t>중713</t>
  </si>
  <si>
    <t>중714</t>
  </si>
  <si>
    <t>중801</t>
    <phoneticPr fontId="3" type="noConversion"/>
  </si>
  <si>
    <t>중802</t>
    <phoneticPr fontId="3" type="noConversion"/>
  </si>
  <si>
    <t>중803</t>
  </si>
  <si>
    <t>소가야중</t>
  </si>
  <si>
    <t>한다사중</t>
  </si>
  <si>
    <t>중804</t>
  </si>
  <si>
    <t>중805</t>
  </si>
  <si>
    <t>중806</t>
  </si>
  <si>
    <t>중807</t>
  </si>
  <si>
    <t>중808</t>
  </si>
  <si>
    <t>중809</t>
  </si>
  <si>
    <t>중810</t>
  </si>
  <si>
    <t>중901</t>
    <phoneticPr fontId="3" type="noConversion"/>
  </si>
  <si>
    <t>중902</t>
    <phoneticPr fontId="3" type="noConversion"/>
  </si>
  <si>
    <t>중911</t>
    <phoneticPr fontId="3" type="noConversion"/>
  </si>
  <si>
    <t>중912</t>
    <phoneticPr fontId="3" type="noConversion"/>
  </si>
  <si>
    <t>중913</t>
  </si>
  <si>
    <t>중921</t>
    <phoneticPr fontId="3" type="noConversion"/>
  </si>
  <si>
    <t>중922</t>
    <phoneticPr fontId="3" type="noConversion"/>
  </si>
  <si>
    <t>중923</t>
    <phoneticPr fontId="3" type="noConversion"/>
  </si>
  <si>
    <t>중931</t>
    <phoneticPr fontId="3" type="noConversion"/>
  </si>
  <si>
    <t>중932</t>
    <phoneticPr fontId="3" type="noConversion"/>
  </si>
  <si>
    <t>중933</t>
  </si>
  <si>
    <t>중934</t>
  </si>
  <si>
    <t>중935</t>
  </si>
  <si>
    <t>중936</t>
  </si>
  <si>
    <t>중937</t>
  </si>
  <si>
    <t>중941</t>
    <phoneticPr fontId="3" type="noConversion"/>
  </si>
  <si>
    <t>중942</t>
    <phoneticPr fontId="3" type="noConversion"/>
  </si>
  <si>
    <t>중943</t>
  </si>
  <si>
    <t>중944</t>
  </si>
  <si>
    <t>중945</t>
  </si>
  <si>
    <t>중951</t>
    <phoneticPr fontId="3" type="noConversion"/>
  </si>
  <si>
    <t>중952</t>
    <phoneticPr fontId="3" type="noConversion"/>
  </si>
  <si>
    <t>중953</t>
  </si>
  <si>
    <t>중954</t>
  </si>
  <si>
    <t>중955</t>
  </si>
  <si>
    <t>중956</t>
  </si>
  <si>
    <t>중957</t>
  </si>
  <si>
    <t>중958</t>
  </si>
  <si>
    <t>중961</t>
    <phoneticPr fontId="3" type="noConversion"/>
  </si>
  <si>
    <t>중971</t>
    <phoneticPr fontId="3" type="noConversion"/>
  </si>
  <si>
    <t>고제분교</t>
  </si>
  <si>
    <t>거창덕유중</t>
  </si>
  <si>
    <t>신원분교</t>
  </si>
  <si>
    <t>중972</t>
    <phoneticPr fontId="3" type="noConversion"/>
  </si>
  <si>
    <t>중973</t>
  </si>
  <si>
    <t>중974</t>
  </si>
  <si>
    <t>중975</t>
  </si>
  <si>
    <t>중981</t>
    <phoneticPr fontId="3" type="noConversion"/>
  </si>
  <si>
    <t>중982</t>
    <phoneticPr fontId="3" type="noConversion"/>
  </si>
  <si>
    <t>중983</t>
  </si>
  <si>
    <t>중984</t>
  </si>
  <si>
    <t>중985</t>
  </si>
  <si>
    <t>중986</t>
  </si>
  <si>
    <t>중987</t>
  </si>
  <si>
    <t>중991</t>
    <phoneticPr fontId="3" type="noConversion"/>
  </si>
  <si>
    <t>중992</t>
    <phoneticPr fontId="3" type="noConversion"/>
  </si>
  <si>
    <t>중993</t>
  </si>
  <si>
    <t>중994</t>
  </si>
  <si>
    <t>경사부중(국)</t>
  </si>
  <si>
    <t>마산구암고</t>
  </si>
  <si>
    <t>마산내서여고</t>
  </si>
  <si>
    <t>태봉고</t>
  </si>
  <si>
    <t>진해고</t>
  </si>
  <si>
    <t>진주기계공업고</t>
  </si>
  <si>
    <t>구산고</t>
  </si>
  <si>
    <t>김해외고</t>
  </si>
  <si>
    <t>거제여상고</t>
  </si>
  <si>
    <t>창원천광학교</t>
  </si>
  <si>
    <t>창원교육지원청</t>
  </si>
  <si>
    <t>진주교육지원청</t>
  </si>
  <si>
    <t>통영교육지원청</t>
  </si>
  <si>
    <t>사천교육지원청</t>
  </si>
  <si>
    <t>김해교육지원청</t>
  </si>
  <si>
    <t>밀양교육지원청</t>
  </si>
  <si>
    <t>거제교육지원청</t>
  </si>
  <si>
    <t>양산교육지원청</t>
  </si>
  <si>
    <t>의령교육지원청</t>
  </si>
  <si>
    <t>함안교육지원청</t>
  </si>
  <si>
    <t>창녕교육지원청</t>
  </si>
  <si>
    <t>고성교육지원청</t>
  </si>
  <si>
    <t>남해교육지원청</t>
  </si>
  <si>
    <t>하동교육지원청</t>
  </si>
  <si>
    <t>산청교육지원청</t>
  </si>
  <si>
    <t>함양교육지원청</t>
  </si>
  <si>
    <t>거창교육지원청</t>
  </si>
  <si>
    <t>합천교육지원청</t>
  </si>
  <si>
    <t>특101</t>
    <phoneticPr fontId="3" type="noConversion"/>
  </si>
  <si>
    <t>특102</t>
    <phoneticPr fontId="3" type="noConversion"/>
  </si>
  <si>
    <t>특103</t>
  </si>
  <si>
    <t>특104</t>
  </si>
  <si>
    <t>특105</t>
  </si>
  <si>
    <t>특106</t>
  </si>
  <si>
    <t>경사부고(국)</t>
  </si>
  <si>
    <t>고101</t>
    <phoneticPr fontId="3" type="noConversion"/>
  </si>
  <si>
    <t>고102</t>
    <phoneticPr fontId="3" type="noConversion"/>
  </si>
  <si>
    <t>고103</t>
  </si>
  <si>
    <t>고104</t>
  </si>
  <si>
    <t>고105</t>
  </si>
  <si>
    <t>고106</t>
  </si>
  <si>
    <t>고107</t>
  </si>
  <si>
    <t>고108</t>
  </si>
  <si>
    <t>고109</t>
  </si>
  <si>
    <t>고110</t>
  </si>
  <si>
    <t>고111</t>
  </si>
  <si>
    <t>고112</t>
  </si>
  <si>
    <t>고113</t>
  </si>
  <si>
    <t>고114</t>
  </si>
  <si>
    <t>고131</t>
    <phoneticPr fontId="3" type="noConversion"/>
  </si>
  <si>
    <t>고132</t>
    <phoneticPr fontId="3" type="noConversion"/>
  </si>
  <si>
    <t>고133</t>
  </si>
  <si>
    <t>고134</t>
  </si>
  <si>
    <t>고135</t>
  </si>
  <si>
    <t>고136</t>
  </si>
  <si>
    <t>고137</t>
  </si>
  <si>
    <t>고138</t>
  </si>
  <si>
    <t>고151</t>
    <phoneticPr fontId="3" type="noConversion"/>
  </si>
  <si>
    <t>고152</t>
    <phoneticPr fontId="3" type="noConversion"/>
  </si>
  <si>
    <t>고153</t>
  </si>
  <si>
    <t>고154</t>
  </si>
  <si>
    <t>고201</t>
    <phoneticPr fontId="3" type="noConversion"/>
  </si>
  <si>
    <t>고202</t>
    <phoneticPr fontId="3" type="noConversion"/>
  </si>
  <si>
    <t>고203</t>
  </si>
  <si>
    <t>고204</t>
  </si>
  <si>
    <t>고205</t>
  </si>
  <si>
    <t>고206</t>
  </si>
  <si>
    <t>고207</t>
  </si>
  <si>
    <t>고208</t>
  </si>
  <si>
    <t>고209</t>
  </si>
  <si>
    <t>고210</t>
  </si>
  <si>
    <t>고211</t>
  </si>
  <si>
    <t>고222</t>
    <phoneticPr fontId="3" type="noConversion"/>
  </si>
  <si>
    <t>고301</t>
    <phoneticPr fontId="3" type="noConversion"/>
  </si>
  <si>
    <t>고302</t>
    <phoneticPr fontId="3" type="noConversion"/>
  </si>
  <si>
    <t>고303</t>
    <phoneticPr fontId="3" type="noConversion"/>
  </si>
  <si>
    <t>고401</t>
    <phoneticPr fontId="3" type="noConversion"/>
  </si>
  <si>
    <t>고402</t>
    <phoneticPr fontId="3" type="noConversion"/>
  </si>
  <si>
    <t>고403</t>
    <phoneticPr fontId="3" type="noConversion"/>
  </si>
  <si>
    <t>고404</t>
    <phoneticPr fontId="3" type="noConversion"/>
  </si>
  <si>
    <t>고501</t>
    <phoneticPr fontId="3" type="noConversion"/>
  </si>
  <si>
    <t>고502</t>
    <phoneticPr fontId="3" type="noConversion"/>
  </si>
  <si>
    <t>고503</t>
  </si>
  <si>
    <t>고504</t>
  </si>
  <si>
    <t>고505</t>
  </si>
  <si>
    <t>고506</t>
  </si>
  <si>
    <t>고507</t>
  </si>
  <si>
    <t>고508</t>
  </si>
  <si>
    <t>고509</t>
  </si>
  <si>
    <t>고510</t>
  </si>
  <si>
    <t>고511</t>
  </si>
  <si>
    <t>고512</t>
  </si>
  <si>
    <t>고513</t>
  </si>
  <si>
    <t>고514</t>
  </si>
  <si>
    <t>고515</t>
  </si>
  <si>
    <t>고516</t>
  </si>
  <si>
    <t>고517</t>
  </si>
  <si>
    <t>고518</t>
  </si>
  <si>
    <t>고519</t>
  </si>
  <si>
    <t>고520</t>
  </si>
  <si>
    <t>고601</t>
    <phoneticPr fontId="3" type="noConversion"/>
  </si>
  <si>
    <t>고602</t>
    <phoneticPr fontId="3" type="noConversion"/>
  </si>
  <si>
    <t>고603</t>
    <phoneticPr fontId="3" type="noConversion"/>
  </si>
  <si>
    <t>고701</t>
    <phoneticPr fontId="3" type="noConversion"/>
  </si>
  <si>
    <t>고702</t>
    <phoneticPr fontId="3" type="noConversion"/>
  </si>
  <si>
    <t>고703</t>
  </si>
  <si>
    <t>고704</t>
  </si>
  <si>
    <t>고705</t>
  </si>
  <si>
    <t>고706</t>
  </si>
  <si>
    <t>고707</t>
  </si>
  <si>
    <t>고708</t>
  </si>
  <si>
    <t>고801</t>
    <phoneticPr fontId="3" type="noConversion"/>
  </si>
  <si>
    <t>고802</t>
    <phoneticPr fontId="3" type="noConversion"/>
  </si>
  <si>
    <t>고803</t>
  </si>
  <si>
    <t>고804</t>
  </si>
  <si>
    <t>고805</t>
  </si>
  <si>
    <t>고806</t>
  </si>
  <si>
    <t>고901</t>
    <phoneticPr fontId="3" type="noConversion"/>
  </si>
  <si>
    <t>고902</t>
    <phoneticPr fontId="3" type="noConversion"/>
  </si>
  <si>
    <t>고911</t>
    <phoneticPr fontId="3" type="noConversion"/>
  </si>
  <si>
    <t>고921</t>
    <phoneticPr fontId="3" type="noConversion"/>
  </si>
  <si>
    <t>고922</t>
    <phoneticPr fontId="3" type="noConversion"/>
  </si>
  <si>
    <t>고931</t>
    <phoneticPr fontId="3" type="noConversion"/>
  </si>
  <si>
    <t>고932</t>
    <phoneticPr fontId="3" type="noConversion"/>
  </si>
  <si>
    <t>고941</t>
    <phoneticPr fontId="3" type="noConversion"/>
  </si>
  <si>
    <t>고942</t>
    <phoneticPr fontId="3" type="noConversion"/>
  </si>
  <si>
    <t>고943</t>
    <phoneticPr fontId="3" type="noConversion"/>
  </si>
  <si>
    <t>고951</t>
    <phoneticPr fontId="3" type="noConversion"/>
  </si>
  <si>
    <t>고952</t>
    <phoneticPr fontId="3" type="noConversion"/>
  </si>
  <si>
    <t>고953</t>
  </si>
  <si>
    <t>고954</t>
  </si>
  <si>
    <t>고961</t>
    <phoneticPr fontId="3" type="noConversion"/>
  </si>
  <si>
    <t>고971</t>
    <phoneticPr fontId="3" type="noConversion"/>
  </si>
  <si>
    <t>고972</t>
    <phoneticPr fontId="3" type="noConversion"/>
  </si>
  <si>
    <t>고973</t>
  </si>
  <si>
    <t>고974</t>
  </si>
  <si>
    <t>고981</t>
    <phoneticPr fontId="3" type="noConversion"/>
  </si>
  <si>
    <t>고982</t>
    <phoneticPr fontId="3" type="noConversion"/>
  </si>
  <si>
    <t>고983</t>
  </si>
  <si>
    <t>고991</t>
    <phoneticPr fontId="3" type="noConversion"/>
  </si>
  <si>
    <t>고992</t>
    <phoneticPr fontId="3" type="noConversion"/>
  </si>
  <si>
    <t>고993</t>
    <phoneticPr fontId="3" type="noConversion"/>
  </si>
  <si>
    <t>고994</t>
    <phoneticPr fontId="3" type="noConversion"/>
  </si>
  <si>
    <t>교육연구</t>
    <phoneticPr fontId="3" type="noConversion"/>
  </si>
  <si>
    <t>교육연구대회</t>
    <phoneticPr fontId="3" type="noConversion"/>
  </si>
  <si>
    <t>휴직기간이 있는 경우 휴직기간만큼 늦추어서 입력</t>
    <phoneticPr fontId="3" type="noConversion"/>
  </si>
  <si>
    <t>예) 임용일이 2013-03-01이고 6개월 휴직하였으면, 2013-09-01로 입력</t>
    <phoneticPr fontId="3" type="noConversion"/>
  </si>
  <si>
    <t>현직위</t>
    <phoneticPr fontId="3" type="noConversion"/>
  </si>
  <si>
    <t>&lt;- D21 교사는 빈칸 처리</t>
    <phoneticPr fontId="3" type="noConversion"/>
  </si>
  <si>
    <t>&lt;- D29부터 C11까지 교감경력+장학사경력+교육연구사경력을 자동 작성</t>
    <phoneticPr fontId="3" type="noConversion"/>
  </si>
  <si>
    <t>요령p.19 참조</t>
    <phoneticPr fontId="3" type="noConversion"/>
  </si>
  <si>
    <r>
      <t>&lt;- 무슨</t>
    </r>
    <r>
      <rPr>
        <b/>
        <sz val="9"/>
        <color theme="0" tint="-0.499984740745262"/>
        <rFont val="굴림"/>
        <family val="3"/>
        <charset val="129"/>
      </rPr>
      <t>시</t>
    </r>
    <r>
      <rPr>
        <sz val="9"/>
        <color theme="0" tint="-0.499984740745262"/>
        <rFont val="굴림"/>
        <family val="3"/>
        <charset val="129"/>
      </rPr>
      <t xml:space="preserve"> 무슨</t>
    </r>
    <r>
      <rPr>
        <b/>
        <sz val="9"/>
        <color theme="0" tint="-0.499984740745262"/>
        <rFont val="굴림"/>
        <family val="3"/>
        <charset val="129"/>
      </rPr>
      <t>동</t>
    </r>
    <r>
      <rPr>
        <sz val="9"/>
        <color theme="0" tint="-0.499984740745262"/>
        <rFont val="굴림"/>
        <family val="3"/>
        <charset val="129"/>
      </rPr>
      <t xml:space="preserve"> / 무슨</t>
    </r>
    <r>
      <rPr>
        <b/>
        <sz val="9"/>
        <color theme="0" tint="-0.499984740745262"/>
        <rFont val="굴림"/>
        <family val="3"/>
        <charset val="129"/>
      </rPr>
      <t>군</t>
    </r>
    <r>
      <rPr>
        <sz val="9"/>
        <color theme="0" tint="-0.499984740745262"/>
        <rFont val="굴림"/>
        <family val="3"/>
        <charset val="129"/>
      </rPr>
      <t xml:space="preserve"> 무슨</t>
    </r>
    <r>
      <rPr>
        <b/>
        <sz val="9"/>
        <color theme="0" tint="-0.499984740745262"/>
        <rFont val="굴림"/>
        <family val="3"/>
        <charset val="129"/>
      </rPr>
      <t>리</t>
    </r>
    <phoneticPr fontId="3" type="noConversion"/>
  </si>
  <si>
    <t>연간 60시간으로 한정</t>
    <phoneticPr fontId="3" type="noConversion"/>
  </si>
  <si>
    <t>(단, 연수성적으로 평정한 것은 제외)</t>
    <phoneticPr fontId="3" type="noConversion"/>
  </si>
  <si>
    <t>칸이 부족한 경우</t>
    <phoneticPr fontId="3" type="noConversion"/>
  </si>
  <si>
    <t>같은 해에 이수한 것 여러 개를 묶어서</t>
    <phoneticPr fontId="3" type="noConversion"/>
  </si>
  <si>
    <t>ㅇㅇ연수 등 60시간 방식으로 작성하고</t>
    <phoneticPr fontId="3" type="noConversion"/>
  </si>
  <si>
    <t>나이스 증빙자료 각각에 형광펜으로 표시하기</t>
    <phoneticPr fontId="3" type="noConversion"/>
  </si>
  <si>
    <t>&lt;서식 3&gt;</t>
    <phoneticPr fontId="3" type="noConversion"/>
  </si>
  <si>
    <t>&lt;서식 4&gt;</t>
    <phoneticPr fontId="3" type="noConversion"/>
  </si>
  <si>
    <t>&lt;서식 5&gt;</t>
    <phoneticPr fontId="3" type="noConversion"/>
  </si>
  <si>
    <t>&lt;서식 6.2&gt;</t>
    <phoneticPr fontId="3" type="noConversion"/>
  </si>
  <si>
    <t>&lt;서식 6.1&gt;</t>
    <phoneticPr fontId="3" type="noConversion"/>
  </si>
  <si>
    <t>&lt;서식 2&gt;</t>
    <phoneticPr fontId="3" type="noConversion"/>
  </si>
  <si>
    <t>12.03.01-17.02.28</t>
    <phoneticPr fontId="3" type="noConversion"/>
  </si>
  <si>
    <t>2012, 2013, 2016</t>
    <phoneticPr fontId="3" type="noConversion"/>
  </si>
  <si>
    <t>실적학년도</t>
    <phoneticPr fontId="3" type="noConversion"/>
  </si>
  <si>
    <t>평정학년도</t>
    <phoneticPr fontId="3" type="noConversion"/>
  </si>
  <si>
    <t>평정기관</t>
    <phoneticPr fontId="3" type="noConversion"/>
  </si>
  <si>
    <t>교감등은</t>
    <phoneticPr fontId="3" type="noConversion"/>
  </si>
  <si>
    <t>비워두기</t>
    <phoneticPr fontId="3" type="noConversion"/>
  </si>
  <si>
    <t>[평정점]</t>
    <phoneticPr fontId="3" type="noConversion"/>
  </si>
  <si>
    <t>&lt;- 기관번호를 입력하면(중학교는 번호 앞에 중, 고등학교는 번호 앞에 고, 특수학교는 번호 앞에 특, 본청 및 지원청은 번호만 입력)</t>
    <phoneticPr fontId="3" type="noConversion"/>
  </si>
  <si>
    <t>&lt;- 기관명이 자동으로 작성됨</t>
    <phoneticPr fontId="3" type="noConversion"/>
  </si>
  <si>
    <r>
      <t xml:space="preserve">* </t>
    </r>
    <r>
      <rPr>
        <sz val="9"/>
        <rFont val="굴림"/>
        <family val="3"/>
        <charset val="129"/>
      </rPr>
      <t>타자로 입력하기</t>
    </r>
    <r>
      <rPr>
        <sz val="9"/>
        <color theme="0" tint="-0.499984740745262"/>
        <rFont val="굴림"/>
        <family val="3"/>
        <charset val="129"/>
      </rPr>
      <t xml:space="preserve">, 복사하여 붙여넣을 때에는 </t>
    </r>
    <r>
      <rPr>
        <sz val="9"/>
        <rFont val="굴림"/>
        <family val="3"/>
        <charset val="129"/>
      </rPr>
      <t>값만 붙여넣기</t>
    </r>
    <phoneticPr fontId="3" type="noConversion"/>
  </si>
  <si>
    <t>기준일</t>
    <phoneticPr fontId="3" type="noConversion"/>
  </si>
  <si>
    <t>금</t>
    <phoneticPr fontId="3" type="noConversion"/>
  </si>
  <si>
    <t>은</t>
    <phoneticPr fontId="3" type="noConversion"/>
  </si>
  <si>
    <t>동</t>
    <phoneticPr fontId="3" type="noConversion"/>
  </si>
  <si>
    <t>종별/급별</t>
    <phoneticPr fontId="3" type="noConversion"/>
  </si>
  <si>
    <t>&lt;-연 실적입력</t>
    <phoneticPr fontId="3" type="noConversion"/>
  </si>
  <si>
    <t>&lt;-월 실적입력</t>
    <phoneticPr fontId="3" type="noConversion"/>
  </si>
  <si>
    <t>성명(漢字)</t>
    <phoneticPr fontId="3" type="noConversion"/>
  </si>
  <si>
    <t>3년초과경력이
점수로
반영되므로
이전경력도입력</t>
    <phoneticPr fontId="3" type="noConversion"/>
  </si>
  <si>
    <t>도심지역 학교</t>
    <phoneticPr fontId="3" type="noConversion"/>
  </si>
  <si>
    <t>교육활동우수</t>
    <phoneticPr fontId="3" type="noConversion"/>
  </si>
  <si>
    <t>(공통)
연구학교
근무경력
-교육부장관지정</t>
    <phoneticPr fontId="3" type="noConversion"/>
  </si>
  <si>
    <t>중158</t>
    <phoneticPr fontId="3" type="noConversion"/>
  </si>
  <si>
    <t>진해냉천중</t>
    <phoneticPr fontId="3" type="noConversion"/>
  </si>
  <si>
    <t>경남꿈키움중</t>
    <phoneticPr fontId="3" type="noConversion"/>
  </si>
  <si>
    <t>고604</t>
    <phoneticPr fontId="3" type="noConversion"/>
  </si>
  <si>
    <t>밀양영화고</t>
    <phoneticPr fontId="3" type="noConversion"/>
  </si>
  <si>
    <t>창녕슈퍼텍고</t>
    <phoneticPr fontId="3" type="noConversion"/>
  </si>
  <si>
    <t>홍길동</t>
    <phoneticPr fontId="3" type="noConversion"/>
  </si>
  <si>
    <t>洪吉童</t>
    <phoneticPr fontId="3" type="noConversion"/>
  </si>
  <si>
    <t>중등1정</t>
    <phoneticPr fontId="3" type="noConversion"/>
  </si>
  <si>
    <t>고521</t>
    <phoneticPr fontId="3" type="noConversion"/>
  </si>
  <si>
    <t>김해수남고</t>
    <phoneticPr fontId="3" type="noConversion"/>
  </si>
  <si>
    <t>고933</t>
    <phoneticPr fontId="3" type="noConversion"/>
  </si>
  <si>
    <t>경남고성음악고</t>
    <phoneticPr fontId="3" type="noConversion"/>
  </si>
  <si>
    <t>&lt;-학교별기재</t>
    <phoneticPr fontId="3" type="noConversion"/>
  </si>
  <si>
    <t xml:space="preserve">   평정점수 변경</t>
    <phoneticPr fontId="3" type="noConversion"/>
  </si>
  <si>
    <t>평정
상한점</t>
    <phoneticPr fontId="3" type="noConversion"/>
  </si>
  <si>
    <t>금</t>
    <phoneticPr fontId="3" type="noConversion"/>
  </si>
  <si>
    <t>지</t>
    <phoneticPr fontId="3" type="noConversion"/>
  </si>
  <si>
    <t>▼</t>
    <phoneticPr fontId="3" type="noConversion"/>
  </si>
  <si>
    <t>변</t>
    <phoneticPr fontId="3" type="noConversion"/>
  </si>
  <si>
    <t>경</t>
    <phoneticPr fontId="3" type="noConversion"/>
  </si>
  <si>
    <t>특수학교/특수학급
근무경력</t>
    <phoneticPr fontId="3" type="noConversion"/>
  </si>
  <si>
    <t>장학사/교육연구사
경력</t>
    <phoneticPr fontId="3" type="noConversion"/>
  </si>
  <si>
    <t>기간
(월.일)</t>
    <phoneticPr fontId="3" type="noConversion"/>
  </si>
  <si>
    <t>교육활동우수교사</t>
    <phoneticPr fontId="3" type="noConversion"/>
  </si>
  <si>
    <t>도심지역 학교</t>
    <phoneticPr fontId="3" type="noConversion"/>
  </si>
  <si>
    <t>환산성적</t>
    <phoneticPr fontId="3" type="noConversion"/>
  </si>
  <si>
    <t>&lt;- 최근 10년 2개월 기준에서 기준년도를 참고로 기록</t>
    <phoneticPr fontId="3" type="noConversion"/>
  </si>
  <si>
    <t>경원중학교</t>
    <phoneticPr fontId="3" type="noConversion"/>
  </si>
  <si>
    <t>담임/사감/보직
경력</t>
    <phoneticPr fontId="3" type="noConversion"/>
  </si>
  <si>
    <t>직무연수</t>
    <phoneticPr fontId="3" type="noConversion"/>
  </si>
  <si>
    <t>연수과정명 또는 자격등급</t>
    <phoneticPr fontId="3" type="noConversion"/>
  </si>
  <si>
    <t>상담의첫걸음 또는 한국사</t>
    <phoneticPr fontId="3" type="noConversion"/>
  </si>
  <si>
    <t>한국사능력검증시험 급수를 취득한 경우 등급에 관계없이 연수시간을 60으로 입력할 것</t>
    <phoneticPr fontId="3" type="noConversion"/>
  </si>
  <si>
    <t>연수과정명 또는 한국사 급수</t>
    <phoneticPr fontId="3" type="noConversion"/>
  </si>
  <si>
    <t>한국사 연수 또는 급수</t>
    <phoneticPr fontId="3" type="noConversion"/>
  </si>
  <si>
    <t>중811</t>
    <phoneticPr fontId="3" type="noConversion"/>
  </si>
  <si>
    <t>고139</t>
    <phoneticPr fontId="3" type="noConversion"/>
  </si>
  <si>
    <t>창원예술고</t>
    <phoneticPr fontId="3" type="noConversion"/>
  </si>
  <si>
    <t>물금중</t>
    <phoneticPr fontId="3" type="noConversion"/>
  </si>
  <si>
    <t>12.03.01-19.02.28</t>
    <phoneticPr fontId="3" type="noConversion"/>
  </si>
  <si>
    <t>팔룡중</t>
    <phoneticPr fontId="3" type="noConversion"/>
  </si>
  <si>
    <t>가,나,다급지</t>
    <phoneticPr fontId="3" type="noConversion"/>
  </si>
  <si>
    <t>라급지</t>
    <phoneticPr fontId="3" type="noConversion"/>
  </si>
  <si>
    <t>도서벽지근무경력(가,나,다 급지)</t>
    <phoneticPr fontId="3" type="noConversion"/>
  </si>
  <si>
    <t>도서벽지근무경력(라 급지)</t>
    <phoneticPr fontId="3" type="noConversion"/>
  </si>
  <si>
    <t>가,나,다 급지</t>
    <phoneticPr fontId="3" type="noConversion"/>
  </si>
  <si>
    <t>라 급지</t>
    <phoneticPr fontId="3" type="noConversion"/>
  </si>
  <si>
    <t>&lt;-공동연구는</t>
    <phoneticPr fontId="3" type="noConversion"/>
  </si>
  <si>
    <r>
      <t xml:space="preserve">입상등급에 </t>
    </r>
    <r>
      <rPr>
        <b/>
        <sz val="9"/>
        <color rgb="FFFF0000"/>
        <rFont val="굴림"/>
        <family val="3"/>
        <charset val="129"/>
      </rPr>
      <t>연구자수를 입력</t>
    </r>
    <r>
      <rPr>
        <sz val="9"/>
        <color theme="0" tint="-0.499984740745262"/>
        <rFont val="굴림"/>
        <family val="3"/>
        <charset val="129"/>
      </rPr>
      <t>하면 [평정점]이 계산됨</t>
    </r>
    <phoneticPr fontId="3" type="noConversion"/>
  </si>
  <si>
    <t>평정
상한점</t>
    <phoneticPr fontId="3" type="noConversion"/>
  </si>
  <si>
    <t>평정
상한점</t>
    <phoneticPr fontId="3" type="noConversion"/>
  </si>
  <si>
    <t>청소년단체지도실적</t>
    <phoneticPr fontId="3" type="noConversion"/>
  </si>
  <si>
    <t>학력향상유공실적</t>
    <phoneticPr fontId="3" type="noConversion"/>
  </si>
  <si>
    <t>전국기능경기대회실적</t>
    <phoneticPr fontId="3" type="noConversion"/>
  </si>
  <si>
    <t>청소년단체지도실적</t>
    <phoneticPr fontId="3" type="noConversion"/>
  </si>
  <si>
    <t>학력향상유공실적</t>
    <phoneticPr fontId="3" type="noConversion"/>
  </si>
  <si>
    <t>경로효행실적</t>
    <phoneticPr fontId="3" type="noConversion"/>
  </si>
  <si>
    <t>중159</t>
  </si>
  <si>
    <t>진해신항중</t>
    <phoneticPr fontId="3" type="noConversion"/>
  </si>
  <si>
    <t>중603</t>
    <phoneticPr fontId="3" type="noConversion"/>
  </si>
  <si>
    <t>미리벌중</t>
    <phoneticPr fontId="3" type="noConversion"/>
  </si>
  <si>
    <t>중141</t>
    <phoneticPr fontId="3" type="noConversion"/>
  </si>
  <si>
    <t>중142</t>
    <phoneticPr fontId="3" type="noConversion"/>
  </si>
  <si>
    <t>중143</t>
    <phoneticPr fontId="3" type="noConversion"/>
  </si>
  <si>
    <t>중144</t>
    <phoneticPr fontId="3" type="noConversion"/>
  </si>
  <si>
    <t>중145</t>
    <phoneticPr fontId="3" type="noConversion"/>
  </si>
  <si>
    <t>구남분교</t>
    <phoneticPr fontId="3" type="noConversion"/>
  </si>
  <si>
    <t>구산중</t>
    <phoneticPr fontId="3" type="noConversion"/>
  </si>
  <si>
    <t>미조중</t>
    <phoneticPr fontId="3" type="noConversion"/>
  </si>
  <si>
    <t>설천중</t>
    <phoneticPr fontId="3" type="noConversion"/>
  </si>
  <si>
    <t>꽃내중</t>
    <phoneticPr fontId="3" type="noConversion"/>
  </si>
  <si>
    <t>중962</t>
    <phoneticPr fontId="3" type="noConversion"/>
  </si>
  <si>
    <t>중963</t>
    <phoneticPr fontId="3" type="noConversion"/>
  </si>
  <si>
    <t>중964</t>
    <phoneticPr fontId="3" type="noConversion"/>
  </si>
  <si>
    <t>고962</t>
    <phoneticPr fontId="3" type="noConversion"/>
  </si>
  <si>
    <t>고963</t>
    <phoneticPr fontId="3" type="noConversion"/>
  </si>
  <si>
    <t>고964</t>
    <phoneticPr fontId="3" type="noConversion"/>
  </si>
  <si>
    <t>특107</t>
    <phoneticPr fontId="3" type="noConversion"/>
  </si>
  <si>
    <t>특108</t>
    <phoneticPr fontId="3" type="noConversion"/>
  </si>
  <si>
    <t>거창나래학교</t>
    <phoneticPr fontId="3" type="noConversion"/>
  </si>
  <si>
    <t>과학교육원 우포생태분원</t>
    <phoneticPr fontId="3" type="noConversion"/>
  </si>
  <si>
    <t>과학교육원 수학문화분원</t>
    <phoneticPr fontId="3" type="noConversion"/>
  </si>
  <si>
    <t>경남학생교육원</t>
    <phoneticPr fontId="3" type="noConversion"/>
  </si>
  <si>
    <t>학생교육원 남해분원</t>
    <phoneticPr fontId="3" type="noConversion"/>
  </si>
  <si>
    <t>덕유학생교육원</t>
    <phoneticPr fontId="3" type="noConversion"/>
  </si>
  <si>
    <t>낙동강학생교육원</t>
    <phoneticPr fontId="3" type="noConversion"/>
  </si>
  <si>
    <t>낙동강학생교육원 진산분원</t>
    <phoneticPr fontId="3" type="noConversion"/>
  </si>
  <si>
    <t>낙동강학생교육원 칠북분원</t>
    <phoneticPr fontId="3" type="noConversion"/>
  </si>
  <si>
    <t>경남특수교육원</t>
    <phoneticPr fontId="3" type="noConversion"/>
  </si>
  <si>
    <t>경남학생안전체험교육원</t>
    <phoneticPr fontId="3" type="noConversion"/>
  </si>
  <si>
    <t>교사</t>
    <phoneticPr fontId="3" type="noConversion"/>
  </si>
  <si>
    <t>보정점</t>
    <phoneticPr fontId="3" type="noConversion"/>
  </si>
  <si>
    <t xml:space="preserve">* 청소년단체지도실적이 10개월이 안되면 </t>
  </si>
  <si>
    <t>* M211셀에 보정점(마이너스 값)을 넣어 주세요!</t>
    <phoneticPr fontId="3" type="noConversion"/>
  </si>
  <si>
    <t>3. 직무연수성적 평정(직무연수 적용 기간: 2011.1.1.~2021.2.28.)</t>
    <phoneticPr fontId="3" type="noConversion"/>
  </si>
  <si>
    <t>해당직위에서 이수한 모든 직무연수(예: 8시간 연수 + 2시간 연수 + 5시간 연수도 15시간으로 인정함.)</t>
    <phoneticPr fontId="3" type="noConversion"/>
  </si>
  <si>
    <t>1998.3.1 ~ 2008.12.31</t>
  </si>
  <si>
    <t>[창원]</t>
  </si>
  <si>
    <t>팔용중</t>
  </si>
  <si>
    <t>[마산]</t>
  </si>
  <si>
    <t>구암여중</t>
  </si>
  <si>
    <t>구남중</t>
  </si>
  <si>
    <t>구남중구산분교장</t>
  </si>
  <si>
    <t>구산중구남분교장</t>
  </si>
  <si>
    <t>[진해]</t>
  </si>
  <si>
    <t>[진주]</t>
  </si>
  <si>
    <t>경사부중</t>
  </si>
  <si>
    <t>경남꿈키움중</t>
  </si>
  <si>
    <t>경사부고</t>
  </si>
  <si>
    <t>진주기계공고</t>
  </si>
  <si>
    <t>경남체고</t>
  </si>
  <si>
    <t>[통영]</t>
  </si>
  <si>
    <t>[사천]</t>
  </si>
  <si>
    <t>[김해]</t>
  </si>
  <si>
    <t>[밀양]</t>
  </si>
  <si>
    <t>상동중</t>
  </si>
  <si>
    <t>미리벌</t>
  </si>
  <si>
    <t>[거제]</t>
  </si>
  <si>
    <t>거제여상</t>
  </si>
  <si>
    <t>거제여고</t>
  </si>
  <si>
    <t>[양산]</t>
  </si>
  <si>
    <t>[의령]</t>
  </si>
  <si>
    <t>의령여중</t>
  </si>
  <si>
    <t>정곡중</t>
  </si>
  <si>
    <t>[함안]</t>
  </si>
  <si>
    <t>[창녕]</t>
  </si>
  <si>
    <t>창녕슈퍼텍고</t>
  </si>
  <si>
    <t>[고성]</t>
  </si>
  <si>
    <t>[남해]</t>
  </si>
  <si>
    <t>남수중</t>
  </si>
  <si>
    <t>물건중</t>
  </si>
  <si>
    <t>미조중</t>
  </si>
  <si>
    <t>고현중</t>
  </si>
  <si>
    <t>설천중</t>
  </si>
  <si>
    <t>[하동]</t>
  </si>
  <si>
    <t>[산청]</t>
  </si>
  <si>
    <t>산청중차황분교</t>
  </si>
  <si>
    <t>생초중</t>
  </si>
  <si>
    <t>경호중</t>
  </si>
  <si>
    <t>생초고</t>
  </si>
  <si>
    <t>경호고</t>
  </si>
  <si>
    <t>[함양]</t>
  </si>
  <si>
    <t>[거창]</t>
  </si>
  <si>
    <t>거창공고</t>
  </si>
  <si>
    <t>가조익천고</t>
  </si>
  <si>
    <t>[합천]</t>
  </si>
  <si>
    <t>[특수학교]</t>
  </si>
  <si>
    <t>경남은광학교</t>
  </si>
  <si>
    <t>근무지 연락처</t>
    <phoneticPr fontId="3" type="noConversion"/>
  </si>
  <si>
    <t>근무지 연락처</t>
    <phoneticPr fontId="3" type="noConversion"/>
  </si>
  <si>
    <t>1995.3.1 ~ 1998.2.28</t>
    <phoneticPr fontId="3" type="noConversion"/>
  </si>
  <si>
    <t>거제여고</t>
    <phoneticPr fontId="3" type="noConversion"/>
  </si>
  <si>
    <t>진영제일고</t>
    <phoneticPr fontId="3" type="noConversion"/>
  </si>
  <si>
    <t>진영고</t>
    <phoneticPr fontId="3" type="noConversion"/>
  </si>
  <si>
    <t>진영여중</t>
    <phoneticPr fontId="3" type="noConversion"/>
  </si>
  <si>
    <t>한얼중</t>
    <phoneticPr fontId="3" type="noConversion"/>
  </si>
  <si>
    <t>월산중</t>
    <phoneticPr fontId="3" type="noConversion"/>
  </si>
  <si>
    <t>장유고</t>
    <phoneticPr fontId="3" type="noConversion"/>
  </si>
  <si>
    <t>경남은혜학교</t>
    <phoneticPr fontId="3" type="noConversion"/>
  </si>
  <si>
    <t>능동중</t>
    <phoneticPr fontId="3" type="noConversion"/>
  </si>
  <si>
    <t>김해대청고</t>
    <phoneticPr fontId="3" type="noConversion"/>
  </si>
  <si>
    <t>김해삼문고</t>
    <phoneticPr fontId="3" type="noConversion"/>
  </si>
  <si>
    <t>관동중</t>
    <phoneticPr fontId="3" type="noConversion"/>
  </si>
  <si>
    <t>김해외고</t>
    <phoneticPr fontId="3" type="noConversion"/>
  </si>
  <si>
    <t>내덕중</t>
    <phoneticPr fontId="3" type="noConversion"/>
  </si>
  <si>
    <t>진영중</t>
    <phoneticPr fontId="3" type="noConversion"/>
  </si>
  <si>
    <t>진전중여항분교장</t>
    <phoneticPr fontId="3" type="noConversion"/>
  </si>
  <si>
    <t>내서중</t>
    <phoneticPr fontId="3" type="noConversion"/>
  </si>
  <si>
    <t>삼계중</t>
    <phoneticPr fontId="3" type="noConversion"/>
  </si>
  <si>
    <t>호계중</t>
    <phoneticPr fontId="3" type="noConversion"/>
  </si>
  <si>
    <t>마산고</t>
    <phoneticPr fontId="3" type="noConversion"/>
  </si>
  <si>
    <t>마산여고</t>
    <phoneticPr fontId="3" type="noConversion"/>
  </si>
  <si>
    <t>합포고</t>
    <phoneticPr fontId="3" type="noConversion"/>
  </si>
  <si>
    <t>마산가포고</t>
    <phoneticPr fontId="3" type="noConversion"/>
  </si>
  <si>
    <t>마산구암고</t>
    <phoneticPr fontId="3" type="noConversion"/>
  </si>
  <si>
    <t>마산용마고</t>
    <phoneticPr fontId="3" type="noConversion"/>
  </si>
  <si>
    <t>마산내서여고</t>
    <phoneticPr fontId="3" type="noConversion"/>
  </si>
  <si>
    <t>태봉고</t>
    <phoneticPr fontId="3" type="noConversion"/>
  </si>
  <si>
    <t>창원예술학교</t>
    <phoneticPr fontId="3" type="noConversion"/>
  </si>
  <si>
    <t>마산내서여고</t>
    <phoneticPr fontId="3" type="noConversion"/>
  </si>
  <si>
    <t>광려중</t>
    <phoneticPr fontId="3" type="noConversion"/>
  </si>
  <si>
    <t>무안중</t>
    <phoneticPr fontId="3" type="noConversion"/>
  </si>
  <si>
    <t>밀양공고</t>
    <phoneticPr fontId="3" type="noConversion"/>
  </si>
  <si>
    <t>상남중</t>
  </si>
  <si>
    <t>상남중</t>
    <phoneticPr fontId="3" type="noConversion"/>
  </si>
  <si>
    <t>상동중</t>
    <phoneticPr fontId="3" type="noConversion"/>
  </si>
  <si>
    <t>청도중</t>
  </si>
  <si>
    <t>청도중</t>
    <phoneticPr fontId="3" type="noConversion"/>
  </si>
  <si>
    <t>초동중</t>
  </si>
  <si>
    <t>초동중</t>
    <phoneticPr fontId="3" type="noConversion"/>
  </si>
  <si>
    <t>경남자영고</t>
    <phoneticPr fontId="3" type="noConversion"/>
  </si>
  <si>
    <t>곤양고</t>
    <phoneticPr fontId="3" type="noConversion"/>
  </si>
  <si>
    <t>곤양중</t>
    <phoneticPr fontId="3" type="noConversion"/>
  </si>
  <si>
    <t>서포중</t>
    <phoneticPr fontId="3" type="noConversion"/>
  </si>
  <si>
    <t>사천중</t>
    <phoneticPr fontId="3" type="noConversion"/>
  </si>
  <si>
    <t>사천여중</t>
    <phoneticPr fontId="3" type="noConversion"/>
  </si>
  <si>
    <t>농어촌학교
창원과학고
마이스터고
근무경력</t>
    <phoneticPr fontId="3" type="noConversion"/>
  </si>
  <si>
    <t>농어촌학교
창원과학고
마이스터고
근무경력</t>
    <phoneticPr fontId="3" type="noConversion"/>
  </si>
  <si>
    <t>양주중</t>
    <phoneticPr fontId="3" type="noConversion"/>
  </si>
  <si>
    <t>원동중</t>
    <phoneticPr fontId="3" type="noConversion"/>
  </si>
  <si>
    <t>웅상중</t>
    <phoneticPr fontId="3" type="noConversion"/>
  </si>
  <si>
    <t>웅상고</t>
    <phoneticPr fontId="3" type="noConversion"/>
  </si>
  <si>
    <t>웅상여중</t>
    <phoneticPr fontId="3" type="noConversion"/>
  </si>
  <si>
    <t>물금고</t>
    <phoneticPr fontId="3" type="noConversion"/>
  </si>
  <si>
    <t>서창중</t>
    <phoneticPr fontId="3" type="noConversion"/>
  </si>
  <si>
    <t>신주중</t>
    <phoneticPr fontId="3" type="noConversion"/>
  </si>
  <si>
    <t>범어중</t>
    <phoneticPr fontId="3" type="noConversion"/>
  </si>
  <si>
    <t>서창고</t>
    <phoneticPr fontId="3" type="noConversion"/>
  </si>
  <si>
    <t>금곡중</t>
    <phoneticPr fontId="3" type="noConversion"/>
  </si>
  <si>
    <t>대곡고</t>
    <phoneticPr fontId="3" type="noConversion"/>
  </si>
  <si>
    <t>대곡중</t>
    <phoneticPr fontId="3" type="noConversion"/>
  </si>
  <si>
    <t>명석중</t>
    <phoneticPr fontId="3" type="noConversion"/>
  </si>
  <si>
    <t>반성중</t>
    <phoneticPr fontId="3" type="noConversion"/>
  </si>
  <si>
    <t>지수중</t>
    <phoneticPr fontId="3" type="noConversion"/>
  </si>
  <si>
    <t>진서고</t>
    <phoneticPr fontId="3" type="noConversion"/>
  </si>
  <si>
    <t>진서중</t>
    <phoneticPr fontId="3" type="noConversion"/>
  </si>
  <si>
    <t>경남과학고</t>
    <phoneticPr fontId="3" type="noConversion"/>
  </si>
  <si>
    <t>경남체고</t>
    <phoneticPr fontId="3" type="noConversion"/>
  </si>
  <si>
    <t>문산중</t>
    <phoneticPr fontId="3" type="noConversion"/>
  </si>
  <si>
    <t>진양고</t>
    <phoneticPr fontId="3" type="noConversion"/>
  </si>
  <si>
    <t>진주혜광학교</t>
    <phoneticPr fontId="3" type="noConversion"/>
  </si>
  <si>
    <t>진해제일고</t>
    <phoneticPr fontId="3" type="noConversion"/>
  </si>
  <si>
    <t>안골포중</t>
    <phoneticPr fontId="3" type="noConversion"/>
  </si>
  <si>
    <t>진해용원고</t>
    <phoneticPr fontId="3" type="noConversion"/>
  </si>
  <si>
    <t>창북중</t>
    <phoneticPr fontId="3" type="noConversion"/>
  </si>
  <si>
    <t>창덕중</t>
    <phoneticPr fontId="3" type="noConversion"/>
  </si>
  <si>
    <t>도산중</t>
    <phoneticPr fontId="3" type="noConversion"/>
  </si>
  <si>
    <t>산양중</t>
    <phoneticPr fontId="3" type="noConversion"/>
  </si>
  <si>
    <t>가북중</t>
  </si>
  <si>
    <t>가북중</t>
    <phoneticPr fontId="3" type="noConversion"/>
  </si>
  <si>
    <t>가조익천고</t>
    <phoneticPr fontId="3" type="noConversion"/>
  </si>
  <si>
    <t>가조중</t>
    <phoneticPr fontId="3" type="noConversion"/>
  </si>
  <si>
    <t>고제중</t>
  </si>
  <si>
    <t>고제중</t>
    <phoneticPr fontId="3" type="noConversion"/>
  </si>
  <si>
    <t>마리중</t>
  </si>
  <si>
    <t>마리중</t>
    <phoneticPr fontId="3" type="noConversion"/>
  </si>
  <si>
    <t>웅양중</t>
    <phoneticPr fontId="3" type="noConversion"/>
  </si>
  <si>
    <t>위천중</t>
  </si>
  <si>
    <t>위천중</t>
    <phoneticPr fontId="3" type="noConversion"/>
  </si>
  <si>
    <t>북상중</t>
  </si>
  <si>
    <t>북상중</t>
    <phoneticPr fontId="3" type="noConversion"/>
  </si>
  <si>
    <t>아림고</t>
    <phoneticPr fontId="3" type="noConversion"/>
  </si>
  <si>
    <t>거창여고</t>
    <phoneticPr fontId="3" type="noConversion"/>
  </si>
  <si>
    <t>거창여중</t>
    <phoneticPr fontId="3" type="noConversion"/>
  </si>
  <si>
    <t>거창중</t>
    <phoneticPr fontId="3" type="noConversion"/>
  </si>
  <si>
    <t>신원중</t>
  </si>
  <si>
    <t>신원중</t>
    <phoneticPr fontId="3" type="noConversion"/>
  </si>
  <si>
    <t>고성동중</t>
    <phoneticPr fontId="3" type="noConversion"/>
  </si>
  <si>
    <t>구만중</t>
  </si>
  <si>
    <t>구만중</t>
    <phoneticPr fontId="3" type="noConversion"/>
  </si>
  <si>
    <t>동해중</t>
    <phoneticPr fontId="3" type="noConversion"/>
  </si>
  <si>
    <t>삼산중</t>
  </si>
  <si>
    <t>삼산중</t>
    <phoneticPr fontId="3" type="noConversion"/>
  </si>
  <si>
    <t>상리중</t>
  </si>
  <si>
    <t>상리중</t>
    <phoneticPr fontId="3" type="noConversion"/>
  </si>
  <si>
    <t>영천중</t>
    <phoneticPr fontId="3" type="noConversion"/>
  </si>
  <si>
    <t>영현중</t>
  </si>
  <si>
    <t>영현중</t>
    <phoneticPr fontId="3" type="noConversion"/>
  </si>
  <si>
    <t>하일중</t>
  </si>
  <si>
    <t>하일중</t>
    <phoneticPr fontId="3" type="noConversion"/>
  </si>
  <si>
    <t>회화중</t>
    <phoneticPr fontId="3" type="noConversion"/>
  </si>
  <si>
    <t>경남항공고</t>
    <phoneticPr fontId="3" type="noConversion"/>
  </si>
  <si>
    <t>고성여고</t>
  </si>
  <si>
    <t>고성여고</t>
    <phoneticPr fontId="3" type="noConversion"/>
  </si>
  <si>
    <t>고성여중</t>
    <phoneticPr fontId="3" type="noConversion"/>
  </si>
  <si>
    <t>고성중</t>
    <phoneticPr fontId="3" type="noConversion"/>
  </si>
  <si>
    <t>남수중</t>
    <phoneticPr fontId="3" type="noConversion"/>
  </si>
  <si>
    <t>남해고현중</t>
  </si>
  <si>
    <t>남해고현중</t>
    <phoneticPr fontId="3" type="noConversion"/>
  </si>
  <si>
    <t>남해수고</t>
    <phoneticPr fontId="3" type="noConversion"/>
  </si>
  <si>
    <t>경남해양과학고</t>
    <phoneticPr fontId="3" type="noConversion"/>
  </si>
  <si>
    <t>남해정보고</t>
    <phoneticPr fontId="3" type="noConversion"/>
  </si>
  <si>
    <t>물건중</t>
    <phoneticPr fontId="3" type="noConversion"/>
  </si>
  <si>
    <t>설천중</t>
    <phoneticPr fontId="3" type="noConversion"/>
  </si>
  <si>
    <t>미조중</t>
    <phoneticPr fontId="3" type="noConversion"/>
  </si>
  <si>
    <t>서면중</t>
    <phoneticPr fontId="3" type="noConversion"/>
  </si>
  <si>
    <t>남해종합고</t>
    <phoneticPr fontId="3" type="noConversion"/>
  </si>
  <si>
    <t>남해제일고</t>
    <phoneticPr fontId="3" type="noConversion"/>
  </si>
  <si>
    <t>남해여중</t>
    <phoneticPr fontId="3" type="noConversion"/>
  </si>
  <si>
    <t>남해중</t>
    <phoneticPr fontId="3" type="noConversion"/>
  </si>
  <si>
    <t>경호고</t>
    <phoneticPr fontId="3" type="noConversion"/>
  </si>
  <si>
    <t>경호중</t>
    <phoneticPr fontId="3" type="noConversion"/>
  </si>
  <si>
    <t>단성고</t>
    <phoneticPr fontId="3" type="noConversion"/>
  </si>
  <si>
    <t>단성중</t>
    <phoneticPr fontId="3" type="noConversion"/>
  </si>
  <si>
    <t>단성중신안분교장</t>
  </si>
  <si>
    <t>단성중신안분교장</t>
    <phoneticPr fontId="3" type="noConversion"/>
  </si>
  <si>
    <t>덕산고</t>
    <phoneticPr fontId="3" type="noConversion"/>
  </si>
  <si>
    <t>덕산중</t>
    <phoneticPr fontId="3" type="noConversion"/>
  </si>
  <si>
    <t>생초고</t>
    <phoneticPr fontId="3" type="noConversion"/>
  </si>
  <si>
    <t>생초중</t>
    <phoneticPr fontId="3" type="noConversion"/>
  </si>
  <si>
    <t>신등고</t>
    <phoneticPr fontId="3" type="noConversion"/>
  </si>
  <si>
    <t>신등중</t>
    <phoneticPr fontId="3" type="noConversion"/>
  </si>
  <si>
    <t>차황중</t>
  </si>
  <si>
    <t>차황중</t>
    <phoneticPr fontId="3" type="noConversion"/>
  </si>
  <si>
    <t>산청중</t>
    <phoneticPr fontId="3" type="noConversion"/>
  </si>
  <si>
    <t>산청고</t>
    <phoneticPr fontId="3" type="noConversion"/>
  </si>
  <si>
    <t>의동중</t>
  </si>
  <si>
    <t>의동중</t>
    <phoneticPr fontId="3" type="noConversion"/>
  </si>
  <si>
    <t>화정중</t>
  </si>
  <si>
    <t>화정중</t>
    <phoneticPr fontId="3" type="noConversion"/>
  </si>
  <si>
    <t>경남은광학교</t>
    <phoneticPr fontId="3" type="noConversion"/>
  </si>
  <si>
    <t>의령고</t>
    <phoneticPr fontId="3" type="noConversion"/>
  </si>
  <si>
    <t>의령중</t>
    <phoneticPr fontId="3" type="noConversion"/>
  </si>
  <si>
    <t>계성중</t>
  </si>
  <si>
    <t>계성중</t>
    <phoneticPr fontId="3" type="noConversion"/>
  </si>
  <si>
    <t>등대중</t>
  </si>
  <si>
    <t>등대중</t>
    <phoneticPr fontId="3" type="noConversion"/>
  </si>
  <si>
    <t>영산고</t>
    <phoneticPr fontId="3" type="noConversion"/>
  </si>
  <si>
    <t>창녕제일고</t>
  </si>
  <si>
    <t>창녕제일고</t>
    <phoneticPr fontId="3" type="noConversion"/>
  </si>
  <si>
    <t>창녕중</t>
    <phoneticPr fontId="3" type="noConversion"/>
  </si>
  <si>
    <t>북청중</t>
  </si>
  <si>
    <t>북청중</t>
    <phoneticPr fontId="3" type="noConversion"/>
  </si>
  <si>
    <t>양보중</t>
  </si>
  <si>
    <t>양보중</t>
    <phoneticPr fontId="3" type="noConversion"/>
  </si>
  <si>
    <t>횡천중</t>
  </si>
  <si>
    <t>횡천중</t>
    <phoneticPr fontId="3" type="noConversion"/>
  </si>
  <si>
    <t>화개중</t>
    <phoneticPr fontId="3" type="noConversion"/>
  </si>
  <si>
    <t>하동고</t>
    <phoneticPr fontId="3" type="noConversion"/>
  </si>
  <si>
    <t>하동중앙중</t>
    <phoneticPr fontId="3" type="noConversion"/>
  </si>
  <si>
    <t>법수중</t>
    <phoneticPr fontId="3" type="noConversion"/>
  </si>
  <si>
    <t>함안고</t>
    <phoneticPr fontId="3" type="noConversion"/>
  </si>
  <si>
    <t>함안중</t>
    <phoneticPr fontId="3" type="noConversion"/>
  </si>
  <si>
    <t>백전중</t>
  </si>
  <si>
    <t>백전중</t>
    <phoneticPr fontId="3" type="noConversion"/>
  </si>
  <si>
    <t>서상고</t>
    <phoneticPr fontId="3" type="noConversion"/>
  </si>
  <si>
    <t>서상중</t>
    <phoneticPr fontId="3" type="noConversion"/>
  </si>
  <si>
    <t>수동중</t>
    <phoneticPr fontId="3" type="noConversion"/>
  </si>
  <si>
    <t>안의고</t>
    <phoneticPr fontId="3" type="noConversion"/>
  </si>
  <si>
    <t>함양제일고</t>
    <phoneticPr fontId="3" type="noConversion"/>
  </si>
  <si>
    <t>함양고</t>
    <phoneticPr fontId="3" type="noConversion"/>
  </si>
  <si>
    <t>함양여중</t>
    <phoneticPr fontId="3" type="noConversion"/>
  </si>
  <si>
    <t>함양중</t>
    <phoneticPr fontId="3" type="noConversion"/>
  </si>
  <si>
    <t>쌍백중</t>
  </si>
  <si>
    <t>쌍백중</t>
    <phoneticPr fontId="3" type="noConversion"/>
  </si>
  <si>
    <t>쌍책중</t>
  </si>
  <si>
    <t>쌍책중</t>
    <phoneticPr fontId="3" type="noConversion"/>
  </si>
  <si>
    <t>용주중</t>
  </si>
  <si>
    <t>용주중</t>
    <phoneticPr fontId="3" type="noConversion"/>
  </si>
  <si>
    <t>초계종고</t>
  </si>
  <si>
    <t>초계종고</t>
    <phoneticPr fontId="3" type="noConversion"/>
  </si>
  <si>
    <t>야로고</t>
    <phoneticPr fontId="3" type="noConversion"/>
  </si>
  <si>
    <t>야로중</t>
    <phoneticPr fontId="3" type="noConversion"/>
  </si>
  <si>
    <t>청덕중</t>
  </si>
  <si>
    <t>청덕중</t>
    <phoneticPr fontId="3" type="noConversion"/>
  </si>
  <si>
    <t>합천고</t>
    <phoneticPr fontId="3" type="noConversion"/>
  </si>
  <si>
    <t>합천중</t>
    <phoneticPr fontId="3" type="noConversion"/>
  </si>
  <si>
    <t>합천중봉산분교장</t>
  </si>
  <si>
    <t>합천중봉산분교장</t>
    <phoneticPr fontId="3" type="noConversion"/>
  </si>
  <si>
    <t>[창원]</t>
    <phoneticPr fontId="3" type="noConversion"/>
  </si>
  <si>
    <t>2009.1.1. ~ 2013.12.31</t>
    <phoneticPr fontId="3" type="noConversion"/>
  </si>
  <si>
    <t>[창원] 가지역</t>
  </si>
  <si>
    <t>[창원] 가지역</t>
    <phoneticPr fontId="3" type="noConversion"/>
  </si>
  <si>
    <t>[창원] 나지역</t>
  </si>
  <si>
    <t>[창원] 나지역</t>
    <phoneticPr fontId="3" type="noConversion"/>
  </si>
  <si>
    <t>[거제] 가지역</t>
  </si>
  <si>
    <t>[거제] 가지역</t>
    <phoneticPr fontId="3" type="noConversion"/>
  </si>
  <si>
    <t>[거제] 나지역</t>
  </si>
  <si>
    <t>[거제] 나지역</t>
    <phoneticPr fontId="3" type="noConversion"/>
  </si>
  <si>
    <t>거제고현중</t>
    <phoneticPr fontId="3" type="noConversion"/>
  </si>
  <si>
    <t>거제공고</t>
    <phoneticPr fontId="3" type="noConversion"/>
  </si>
  <si>
    <t>거제중앙고</t>
    <phoneticPr fontId="3" type="noConversion"/>
  </si>
  <si>
    <t>거제중앙중</t>
    <phoneticPr fontId="3" type="noConversion"/>
  </si>
  <si>
    <t>계룡중</t>
    <phoneticPr fontId="3" type="noConversion"/>
  </si>
  <si>
    <t>신현중</t>
    <phoneticPr fontId="3" type="noConversion"/>
  </si>
  <si>
    <t>옥포성지중</t>
    <phoneticPr fontId="3" type="noConversion"/>
  </si>
  <si>
    <t>옥포중</t>
    <phoneticPr fontId="3" type="noConversion"/>
  </si>
  <si>
    <t>수월중</t>
    <phoneticPr fontId="3" type="noConversion"/>
  </si>
  <si>
    <t>연초고</t>
    <phoneticPr fontId="3" type="noConversion"/>
  </si>
  <si>
    <t>거제장평중</t>
    <phoneticPr fontId="3" type="noConversion"/>
  </si>
  <si>
    <t>거제상문고</t>
    <phoneticPr fontId="3" type="noConversion"/>
  </si>
  <si>
    <t>하청중</t>
    <phoneticPr fontId="3" type="noConversion"/>
  </si>
  <si>
    <t>거제제일중</t>
    <phoneticPr fontId="3" type="noConversion"/>
  </si>
  <si>
    <t>연초중</t>
    <phoneticPr fontId="3" type="noConversion"/>
  </si>
  <si>
    <t>성포중</t>
    <phoneticPr fontId="3" type="noConversion"/>
  </si>
  <si>
    <t>지세포중</t>
    <phoneticPr fontId="3" type="noConversion"/>
  </si>
  <si>
    <t>동부중</t>
    <phoneticPr fontId="3" type="noConversion"/>
  </si>
  <si>
    <t>거제제일고</t>
    <phoneticPr fontId="3" type="noConversion"/>
  </si>
  <si>
    <t>거제옥포고</t>
    <phoneticPr fontId="3" type="noConversion"/>
  </si>
  <si>
    <t>경남산업고</t>
    <phoneticPr fontId="3" type="noConversion"/>
  </si>
  <si>
    <t>거제여고</t>
    <phoneticPr fontId="3" type="noConversion"/>
  </si>
  <si>
    <t>거제종고</t>
    <phoneticPr fontId="3" type="noConversion"/>
  </si>
  <si>
    <t>학교명</t>
    <phoneticPr fontId="3" type="noConversion"/>
  </si>
  <si>
    <t>[김해] 가지역</t>
  </si>
  <si>
    <t>[김해] 가지역</t>
    <phoneticPr fontId="3" type="noConversion"/>
  </si>
  <si>
    <t>[김해] 나지역</t>
  </si>
  <si>
    <t>[김해] 나지역</t>
    <phoneticPr fontId="3" type="noConversion"/>
  </si>
  <si>
    <t>관동중</t>
    <phoneticPr fontId="3" type="noConversion"/>
  </si>
  <si>
    <t>김해대청고</t>
    <phoneticPr fontId="3" type="noConversion"/>
  </si>
  <si>
    <t>김해삼문고</t>
    <phoneticPr fontId="3" type="noConversion"/>
  </si>
  <si>
    <t>김해외고</t>
    <phoneticPr fontId="3" type="noConversion"/>
  </si>
  <si>
    <t>능동중</t>
    <phoneticPr fontId="3" type="noConversion"/>
  </si>
  <si>
    <t>장유고</t>
    <phoneticPr fontId="3" type="noConversion"/>
  </si>
  <si>
    <t>율하중</t>
    <phoneticPr fontId="3" type="noConversion"/>
  </si>
  <si>
    <t>대청중</t>
    <phoneticPr fontId="3" type="noConversion"/>
  </si>
  <si>
    <t>김해율하고</t>
    <phoneticPr fontId="3" type="noConversion"/>
  </si>
  <si>
    <t>한얼중</t>
    <phoneticPr fontId="3" type="noConversion"/>
  </si>
  <si>
    <t>진영고</t>
    <phoneticPr fontId="3" type="noConversion"/>
  </si>
  <si>
    <t>진영제일고</t>
    <phoneticPr fontId="3" type="noConversion"/>
  </si>
  <si>
    <t>[마산] 가지역</t>
  </si>
  <si>
    <t>[마산] 가지역</t>
    <phoneticPr fontId="3" type="noConversion"/>
  </si>
  <si>
    <t>[마산] 나지역</t>
  </si>
  <si>
    <t>[마산] 나지역</t>
    <phoneticPr fontId="3" type="noConversion"/>
  </si>
  <si>
    <t>광려중</t>
    <phoneticPr fontId="3" type="noConversion"/>
  </si>
  <si>
    <t>삼계중</t>
    <phoneticPr fontId="3" type="noConversion"/>
  </si>
  <si>
    <t>호계중</t>
    <phoneticPr fontId="3" type="noConversion"/>
  </si>
  <si>
    <t>진전중</t>
    <phoneticPr fontId="3" type="noConversion"/>
  </si>
  <si>
    <t>[밀양] 가지역</t>
  </si>
  <si>
    <t>[밀양] 가지역</t>
    <phoneticPr fontId="3" type="noConversion"/>
  </si>
  <si>
    <t>[밀양] 나지역</t>
  </si>
  <si>
    <t>[밀양] 나지역</t>
    <phoneticPr fontId="3" type="noConversion"/>
  </si>
  <si>
    <t>[사천] 가지역</t>
  </si>
  <si>
    <t>[사천] 가지역</t>
    <phoneticPr fontId="3" type="noConversion"/>
  </si>
  <si>
    <t>[사천] 나지역</t>
  </si>
  <si>
    <t>[사천] 나지역</t>
    <phoneticPr fontId="3" type="noConversion"/>
  </si>
  <si>
    <t>[양산] 가지역</t>
  </si>
  <si>
    <t>[양산] 가지역</t>
    <phoneticPr fontId="3" type="noConversion"/>
  </si>
  <si>
    <t>[양산] 나지역</t>
  </si>
  <si>
    <t>[양산] 나지역</t>
    <phoneticPr fontId="3" type="noConversion"/>
  </si>
  <si>
    <t>서창고</t>
    <phoneticPr fontId="3" type="noConversion"/>
  </si>
  <si>
    <t>서창중</t>
    <phoneticPr fontId="3" type="noConversion"/>
  </si>
  <si>
    <t>웅상고</t>
    <phoneticPr fontId="3" type="noConversion"/>
  </si>
  <si>
    <t>웅상여중</t>
    <phoneticPr fontId="3" type="noConversion"/>
  </si>
  <si>
    <t>범어고</t>
    <phoneticPr fontId="3" type="noConversion"/>
  </si>
  <si>
    <t>양산희망학교</t>
    <phoneticPr fontId="3" type="noConversion"/>
  </si>
  <si>
    <t>원동중</t>
    <phoneticPr fontId="3" type="noConversion"/>
  </si>
  <si>
    <t>[진주] 가지역</t>
  </si>
  <si>
    <t>[진주] 가지역</t>
    <phoneticPr fontId="3" type="noConversion"/>
  </si>
  <si>
    <t>[진주] 나지역</t>
  </si>
  <si>
    <t>[진주] 나지역</t>
    <phoneticPr fontId="3" type="noConversion"/>
  </si>
  <si>
    <t>[진해] 가지역</t>
  </si>
  <si>
    <t>[진해] 가지역</t>
    <phoneticPr fontId="3" type="noConversion"/>
  </si>
  <si>
    <t>[진해] 나지역</t>
  </si>
  <si>
    <t>[진해] 나지역</t>
    <phoneticPr fontId="3" type="noConversion"/>
  </si>
  <si>
    <t>안골포중</t>
    <phoneticPr fontId="3" type="noConversion"/>
  </si>
  <si>
    <t>진해용원고</t>
    <phoneticPr fontId="3" type="noConversion"/>
  </si>
  <si>
    <t>진해제일고</t>
    <phoneticPr fontId="3" type="noConversion"/>
  </si>
  <si>
    <t>용원중</t>
    <phoneticPr fontId="3" type="noConversion"/>
  </si>
  <si>
    <t>창원동중</t>
    <phoneticPr fontId="3" type="noConversion"/>
  </si>
  <si>
    <t>[통영] 가지역</t>
  </si>
  <si>
    <t>[통영] 가지역</t>
    <phoneticPr fontId="3" type="noConversion"/>
  </si>
  <si>
    <t>[통영] 나지역</t>
  </si>
  <si>
    <t>[통영] 나지역</t>
    <phoneticPr fontId="3" type="noConversion"/>
  </si>
  <si>
    <t>[거창] 가지역</t>
  </si>
  <si>
    <t>[거창] 가지역</t>
    <phoneticPr fontId="3" type="noConversion"/>
  </si>
  <si>
    <t>[거창] 나지역</t>
  </si>
  <si>
    <t>[거창] 나지역</t>
    <phoneticPr fontId="3" type="noConversion"/>
  </si>
  <si>
    <t>[고성] 가지역</t>
  </si>
  <si>
    <t>[고성] 가지역</t>
    <phoneticPr fontId="3" type="noConversion"/>
  </si>
  <si>
    <t>[고성] 나지역</t>
  </si>
  <si>
    <t>[고성] 나지역</t>
    <phoneticPr fontId="3" type="noConversion"/>
  </si>
  <si>
    <t>[남해] 가지역</t>
  </si>
  <si>
    <t>[남해] 가지역</t>
    <phoneticPr fontId="3" type="noConversion"/>
  </si>
  <si>
    <t>[남해] 나지역</t>
  </si>
  <si>
    <t>[남해] 나지역</t>
    <phoneticPr fontId="3" type="noConversion"/>
  </si>
  <si>
    <t>[산청] 가지역</t>
  </si>
  <si>
    <t>[산청] 가지역</t>
    <phoneticPr fontId="3" type="noConversion"/>
  </si>
  <si>
    <t>[산청] 나지역</t>
  </si>
  <si>
    <t>[산청] 나지역</t>
    <phoneticPr fontId="3" type="noConversion"/>
  </si>
  <si>
    <t>[의령] 가지역</t>
  </si>
  <si>
    <t>[의령] 가지역</t>
    <phoneticPr fontId="3" type="noConversion"/>
  </si>
  <si>
    <t>[의령] 나지역</t>
  </si>
  <si>
    <t>[의령] 나지역</t>
    <phoneticPr fontId="3" type="noConversion"/>
  </si>
  <si>
    <t>[창녕] 가지역</t>
  </si>
  <si>
    <t>[창녕] 가지역</t>
    <phoneticPr fontId="3" type="noConversion"/>
  </si>
  <si>
    <t>[창녕] 나지역</t>
  </si>
  <si>
    <t>[창녕] 나지역</t>
    <phoneticPr fontId="3" type="noConversion"/>
  </si>
  <si>
    <t>[하동] 가지역</t>
  </si>
  <si>
    <t>[하동] 가지역</t>
    <phoneticPr fontId="3" type="noConversion"/>
  </si>
  <si>
    <t>[하동] 나지역</t>
  </si>
  <si>
    <t>[하동] 나지역</t>
    <phoneticPr fontId="3" type="noConversion"/>
  </si>
  <si>
    <t>청암중</t>
    <phoneticPr fontId="3" type="noConversion"/>
  </si>
  <si>
    <t>[함안] 가지역</t>
  </si>
  <si>
    <t>[함안] 가지역</t>
    <phoneticPr fontId="3" type="noConversion"/>
  </si>
  <si>
    <t>[함안] 나지역</t>
  </si>
  <si>
    <t>[함안] 나지역</t>
    <phoneticPr fontId="3" type="noConversion"/>
  </si>
  <si>
    <t>호암중</t>
    <phoneticPr fontId="3" type="noConversion"/>
  </si>
  <si>
    <t>[함양] 가지역</t>
  </si>
  <si>
    <t>[함양] 가지역</t>
    <phoneticPr fontId="3" type="noConversion"/>
  </si>
  <si>
    <t>[함양] 나지역</t>
  </si>
  <si>
    <t>[함양] 나지역</t>
    <phoneticPr fontId="3" type="noConversion"/>
  </si>
  <si>
    <t>[합천] 가지역</t>
  </si>
  <si>
    <t>[합천] 가지역</t>
    <phoneticPr fontId="3" type="noConversion"/>
  </si>
  <si>
    <t>[합천] 나지역</t>
  </si>
  <si>
    <t>[합천] 나지역</t>
    <phoneticPr fontId="3" type="noConversion"/>
  </si>
  <si>
    <t>2014.1.1 ~ 2015.12.31</t>
    <phoneticPr fontId="3" type="noConversion"/>
  </si>
  <si>
    <t>[창원] 다지역</t>
  </si>
  <si>
    <t>[창원] 다지역</t>
    <phoneticPr fontId="3" type="noConversion"/>
  </si>
  <si>
    <t>[거제] 다지역</t>
  </si>
  <si>
    <t>[거제] 다지역</t>
    <phoneticPr fontId="3" type="noConversion"/>
  </si>
  <si>
    <t>동부중</t>
    <phoneticPr fontId="3" type="noConversion"/>
  </si>
  <si>
    <t>거제여상</t>
    <phoneticPr fontId="3" type="noConversion"/>
  </si>
  <si>
    <t>거제옥포고</t>
    <phoneticPr fontId="3" type="noConversion"/>
  </si>
  <si>
    <t>거제제일고</t>
    <phoneticPr fontId="3" type="noConversion"/>
  </si>
  <si>
    <t>거제제일중</t>
    <phoneticPr fontId="3" type="noConversion"/>
  </si>
  <si>
    <t>성포중</t>
    <phoneticPr fontId="3" type="noConversion"/>
  </si>
  <si>
    <t>연초고</t>
    <phoneticPr fontId="3" type="noConversion"/>
  </si>
  <si>
    <t>연초중</t>
    <phoneticPr fontId="3" type="noConversion"/>
  </si>
  <si>
    <t>하청중</t>
    <phoneticPr fontId="3" type="noConversion"/>
  </si>
  <si>
    <t>거제고현중</t>
    <phoneticPr fontId="3" type="noConversion"/>
  </si>
  <si>
    <t>거제상문고</t>
    <phoneticPr fontId="3" type="noConversion"/>
  </si>
  <si>
    <t>거제장평중</t>
    <phoneticPr fontId="3" type="noConversion"/>
  </si>
  <si>
    <t>거제중앙고</t>
    <phoneticPr fontId="3" type="noConversion"/>
  </si>
  <si>
    <t>거제중앙중</t>
    <phoneticPr fontId="3" type="noConversion"/>
  </si>
  <si>
    <t>신현중</t>
    <phoneticPr fontId="3" type="noConversion"/>
  </si>
  <si>
    <t>옥포성지중</t>
    <phoneticPr fontId="3" type="noConversion"/>
  </si>
  <si>
    <t>옥포중</t>
    <phoneticPr fontId="3" type="noConversion"/>
  </si>
  <si>
    <t>[김해] 다지역</t>
  </si>
  <si>
    <t>[김해] 다지역</t>
    <phoneticPr fontId="3" type="noConversion"/>
  </si>
  <si>
    <t>김해대동중</t>
    <phoneticPr fontId="3" type="noConversion"/>
  </si>
  <si>
    <t>생림중</t>
    <phoneticPr fontId="3" type="noConversion"/>
  </si>
  <si>
    <t>경남은혜학교</t>
    <phoneticPr fontId="3" type="noConversion"/>
  </si>
  <si>
    <t>관동중</t>
    <phoneticPr fontId="3" type="noConversion"/>
  </si>
  <si>
    <t>김해대청고</t>
    <phoneticPr fontId="3" type="noConversion"/>
  </si>
  <si>
    <t>김해삼문고</t>
    <phoneticPr fontId="3" type="noConversion"/>
  </si>
  <si>
    <t>김해율하고</t>
    <phoneticPr fontId="3" type="noConversion"/>
  </si>
  <si>
    <t>내덕중</t>
    <phoneticPr fontId="3" type="noConversion"/>
  </si>
  <si>
    <t>대청중</t>
    <phoneticPr fontId="3" type="noConversion"/>
  </si>
  <si>
    <t>월산중</t>
    <phoneticPr fontId="3" type="noConversion"/>
  </si>
  <si>
    <t>율하중</t>
    <phoneticPr fontId="3" type="noConversion"/>
  </si>
  <si>
    <t>장유고</t>
    <phoneticPr fontId="3" type="noConversion"/>
  </si>
  <si>
    <t>진영고</t>
    <phoneticPr fontId="3" type="noConversion"/>
  </si>
  <si>
    <t>진영제일고</t>
    <phoneticPr fontId="3" type="noConversion"/>
  </si>
  <si>
    <t>진영중</t>
    <phoneticPr fontId="3" type="noConversion"/>
  </si>
  <si>
    <t>한얼중</t>
    <phoneticPr fontId="3" type="noConversion"/>
  </si>
  <si>
    <t>[마산] 다지역</t>
  </si>
  <si>
    <t>[마산] 다지역</t>
    <phoneticPr fontId="3" type="noConversion"/>
  </si>
  <si>
    <t>구남중</t>
    <phoneticPr fontId="3" type="noConversion"/>
  </si>
  <si>
    <t>구남중구산분교장</t>
    <phoneticPr fontId="3" type="noConversion"/>
  </si>
  <si>
    <t>진전중</t>
    <phoneticPr fontId="3" type="noConversion"/>
  </si>
  <si>
    <t>[밀양] 나지역</t>
    <phoneticPr fontId="3" type="noConversion"/>
  </si>
  <si>
    <t>[밀양] 다지역</t>
  </si>
  <si>
    <t>[밀양] 다지역</t>
    <phoneticPr fontId="3" type="noConversion"/>
  </si>
  <si>
    <t>무안중</t>
    <phoneticPr fontId="3" type="noConversion"/>
  </si>
  <si>
    <t>밀양전자고</t>
    <phoneticPr fontId="3" type="noConversion"/>
  </si>
  <si>
    <t>상남중</t>
    <phoneticPr fontId="3" type="noConversion"/>
  </si>
  <si>
    <t>상동중</t>
    <phoneticPr fontId="3" type="noConversion"/>
  </si>
  <si>
    <t>초동중</t>
    <phoneticPr fontId="3" type="noConversion"/>
  </si>
  <si>
    <t>청도중</t>
    <phoneticPr fontId="3" type="noConversion"/>
  </si>
  <si>
    <t>[사천] 다지역</t>
  </si>
  <si>
    <t>[사천] 다지역</t>
    <phoneticPr fontId="3" type="noConversion"/>
  </si>
  <si>
    <t>곤양중</t>
    <phoneticPr fontId="3" type="noConversion"/>
  </si>
  <si>
    <t>곤양고</t>
    <phoneticPr fontId="3" type="noConversion"/>
  </si>
  <si>
    <t>서포중</t>
    <phoneticPr fontId="3" type="noConversion"/>
  </si>
  <si>
    <t>사천여중</t>
    <phoneticPr fontId="3" type="noConversion"/>
  </si>
  <si>
    <t>[양산] 다지역</t>
  </si>
  <si>
    <t>[양산] 다지역</t>
    <phoneticPr fontId="3" type="noConversion"/>
  </si>
  <si>
    <t>양주중</t>
    <phoneticPr fontId="3" type="noConversion"/>
  </si>
  <si>
    <t>서창중</t>
    <phoneticPr fontId="3" type="noConversion"/>
  </si>
  <si>
    <t>범어고</t>
    <phoneticPr fontId="3" type="noConversion"/>
  </si>
  <si>
    <t>범어중</t>
    <phoneticPr fontId="3" type="noConversion"/>
  </si>
  <si>
    <t>웅상여중</t>
    <phoneticPr fontId="3" type="noConversion"/>
  </si>
  <si>
    <t>[진주] 다지역</t>
  </si>
  <si>
    <t>[진주] 다지역</t>
    <phoneticPr fontId="3" type="noConversion"/>
  </si>
  <si>
    <t>경남과학고</t>
    <phoneticPr fontId="3" type="noConversion"/>
  </si>
  <si>
    <t>경남꿈키움중</t>
    <phoneticPr fontId="3" type="noConversion"/>
  </si>
  <si>
    <t>경남체고</t>
    <phoneticPr fontId="3" type="noConversion"/>
  </si>
  <si>
    <t>금곡중</t>
    <phoneticPr fontId="3" type="noConversion"/>
  </si>
  <si>
    <t>대곡고</t>
    <phoneticPr fontId="3" type="noConversion"/>
  </si>
  <si>
    <t>반성중</t>
    <phoneticPr fontId="3" type="noConversion"/>
  </si>
  <si>
    <t>진서고</t>
    <phoneticPr fontId="3" type="noConversion"/>
  </si>
  <si>
    <t>명석중</t>
    <phoneticPr fontId="3" type="noConversion"/>
  </si>
  <si>
    <t>문산중</t>
    <phoneticPr fontId="3" type="noConversion"/>
  </si>
  <si>
    <t>진양고</t>
    <phoneticPr fontId="3" type="noConversion"/>
  </si>
  <si>
    <t>진주혜광학교</t>
    <phoneticPr fontId="3" type="noConversion"/>
  </si>
  <si>
    <t>[진해] 다지역</t>
  </si>
  <si>
    <t>[진해] 다지역</t>
    <phoneticPr fontId="3" type="noConversion"/>
  </si>
  <si>
    <t>용원중</t>
    <phoneticPr fontId="3" type="noConversion"/>
  </si>
  <si>
    <t>웅천고</t>
    <phoneticPr fontId="3" type="noConversion"/>
  </si>
  <si>
    <t>[통영] 다지역</t>
  </si>
  <si>
    <t>[통영] 다지역</t>
    <phoneticPr fontId="3" type="noConversion"/>
  </si>
  <si>
    <t>산양중</t>
    <phoneticPr fontId="3" type="noConversion"/>
  </si>
  <si>
    <t>[거창] 다지역</t>
  </si>
  <si>
    <t>[거창] 다지역</t>
    <phoneticPr fontId="3" type="noConversion"/>
  </si>
  <si>
    <t>거제분교장</t>
  </si>
  <si>
    <t>거제분교장</t>
    <phoneticPr fontId="3" type="noConversion"/>
  </si>
  <si>
    <t>웅양중</t>
    <phoneticPr fontId="3" type="noConversion"/>
  </si>
  <si>
    <t>위천중</t>
    <phoneticPr fontId="3" type="noConversion"/>
  </si>
  <si>
    <t>북상중</t>
    <phoneticPr fontId="3" type="noConversion"/>
  </si>
  <si>
    <t>신원중</t>
    <phoneticPr fontId="3" type="noConversion"/>
  </si>
  <si>
    <t>거창여고</t>
    <phoneticPr fontId="3" type="noConversion"/>
  </si>
  <si>
    <t>거창공고</t>
    <phoneticPr fontId="3" type="noConversion"/>
  </si>
  <si>
    <t>거창덕유중</t>
    <phoneticPr fontId="3" type="noConversion"/>
  </si>
  <si>
    <t>[고성] 다지역</t>
  </si>
  <si>
    <t>[고성] 다지역</t>
    <phoneticPr fontId="3" type="noConversion"/>
  </si>
  <si>
    <t>소가야중</t>
    <phoneticPr fontId="3" type="noConversion"/>
  </si>
  <si>
    <t>고성중앙고</t>
    <phoneticPr fontId="3" type="noConversion"/>
  </si>
  <si>
    <t>[남해] 다지역</t>
  </si>
  <si>
    <t>[남해] 다지역</t>
    <phoneticPr fontId="3" type="noConversion"/>
  </si>
  <si>
    <t>물건중</t>
    <phoneticPr fontId="3" type="noConversion"/>
  </si>
  <si>
    <t>남해중</t>
    <phoneticPr fontId="3" type="noConversion"/>
  </si>
  <si>
    <t>남해여중</t>
    <phoneticPr fontId="3" type="noConversion"/>
  </si>
  <si>
    <t>남수중</t>
    <phoneticPr fontId="3" type="noConversion"/>
  </si>
  <si>
    <t>미조중</t>
    <phoneticPr fontId="3" type="noConversion"/>
  </si>
  <si>
    <t>남해정보산업고</t>
    <phoneticPr fontId="3" type="noConversion"/>
  </si>
  <si>
    <t>경남해양과학고</t>
    <phoneticPr fontId="3" type="noConversion"/>
  </si>
  <si>
    <t>[산청] 다지역</t>
  </si>
  <si>
    <t>[산청] 다지역</t>
    <phoneticPr fontId="3" type="noConversion"/>
  </si>
  <si>
    <t>경호고</t>
    <phoneticPr fontId="3" type="noConversion"/>
  </si>
  <si>
    <t>경호중</t>
    <phoneticPr fontId="3" type="noConversion"/>
  </si>
  <si>
    <t>산청중차황분교장</t>
  </si>
  <si>
    <t>산청중차황분교장</t>
    <phoneticPr fontId="3" type="noConversion"/>
  </si>
  <si>
    <t>산청중</t>
    <phoneticPr fontId="3" type="noConversion"/>
  </si>
  <si>
    <t>차황중</t>
    <phoneticPr fontId="3" type="noConversion"/>
  </si>
  <si>
    <t>[의령] 다지역</t>
  </si>
  <si>
    <t>[의령] 다지역</t>
    <phoneticPr fontId="3" type="noConversion"/>
  </si>
  <si>
    <t>신반정보고</t>
    <phoneticPr fontId="3" type="noConversion"/>
  </si>
  <si>
    <t>신반중</t>
    <phoneticPr fontId="3" type="noConversion"/>
  </si>
  <si>
    <t>의령중</t>
    <phoneticPr fontId="3" type="noConversion"/>
  </si>
  <si>
    <t>의동중</t>
    <phoneticPr fontId="3" type="noConversion"/>
  </si>
  <si>
    <t>화정중</t>
    <phoneticPr fontId="3" type="noConversion"/>
  </si>
  <si>
    <t>의령고</t>
    <phoneticPr fontId="3" type="noConversion"/>
  </si>
  <si>
    <t>[창녕] 다지역</t>
  </si>
  <si>
    <t>[창녕] 다지역</t>
    <phoneticPr fontId="3" type="noConversion"/>
  </si>
  <si>
    <t>창녕슈퍼텍고</t>
    <phoneticPr fontId="3" type="noConversion"/>
  </si>
  <si>
    <t>[하동] 다지역</t>
  </si>
  <si>
    <t>[하동] 다지역</t>
    <phoneticPr fontId="3" type="noConversion"/>
  </si>
  <si>
    <t>악양중</t>
    <phoneticPr fontId="3" type="noConversion"/>
  </si>
  <si>
    <t>[함안] 다지역</t>
  </si>
  <si>
    <t>[함안] 다지역</t>
    <phoneticPr fontId="3" type="noConversion"/>
  </si>
  <si>
    <t>함안고</t>
    <phoneticPr fontId="3" type="noConversion"/>
  </si>
  <si>
    <t>[함양] 다지역</t>
  </si>
  <si>
    <t>[함양] 다지역</t>
    <phoneticPr fontId="3" type="noConversion"/>
  </si>
  <si>
    <t>백전중</t>
    <phoneticPr fontId="3" type="noConversion"/>
  </si>
  <si>
    <t>서상중</t>
    <phoneticPr fontId="3" type="noConversion"/>
  </si>
  <si>
    <t>[합천] 다지역</t>
  </si>
  <si>
    <t>[합천] 다지역</t>
    <phoneticPr fontId="3" type="noConversion"/>
  </si>
  <si>
    <t>청덕중</t>
    <phoneticPr fontId="3" type="noConversion"/>
  </si>
  <si>
    <t>초계고</t>
    <phoneticPr fontId="3" type="noConversion"/>
  </si>
  <si>
    <t>초계고</t>
    <phoneticPr fontId="3" type="noConversion"/>
  </si>
  <si>
    <t>2016.1.1 ~</t>
    <phoneticPr fontId="3" type="noConversion"/>
  </si>
  <si>
    <t>[창원] 라지역</t>
    <phoneticPr fontId="3" type="noConversion"/>
  </si>
  <si>
    <t>[거제] 라지역</t>
    <phoneticPr fontId="3" type="noConversion"/>
  </si>
  <si>
    <t>[김해] 라지역</t>
    <phoneticPr fontId="3" type="noConversion"/>
  </si>
  <si>
    <t>수남중</t>
    <phoneticPr fontId="3" type="noConversion"/>
  </si>
  <si>
    <t>김해수남고</t>
    <phoneticPr fontId="3" type="noConversion"/>
  </si>
  <si>
    <t>[마산] 라지역</t>
    <phoneticPr fontId="3" type="noConversion"/>
  </si>
  <si>
    <t>구산중구남분교장</t>
    <phoneticPr fontId="3" type="noConversion"/>
  </si>
  <si>
    <t>[밀양] 라지역</t>
    <phoneticPr fontId="3" type="noConversion"/>
  </si>
  <si>
    <t>밀양영화고</t>
    <phoneticPr fontId="3" type="noConversion"/>
  </si>
  <si>
    <t>밀양영화고</t>
    <phoneticPr fontId="3" type="noConversion"/>
  </si>
  <si>
    <t>밀양중</t>
    <phoneticPr fontId="3" type="noConversion"/>
  </si>
  <si>
    <t>밀양여중</t>
    <phoneticPr fontId="3" type="noConversion"/>
  </si>
  <si>
    <t>밀양고</t>
    <phoneticPr fontId="3" type="noConversion"/>
  </si>
  <si>
    <t>밀양여고</t>
    <phoneticPr fontId="3" type="noConversion"/>
  </si>
  <si>
    <t>[사천] 라지역</t>
    <phoneticPr fontId="3" type="noConversion"/>
  </si>
  <si>
    <t>삼천포중앙고</t>
    <phoneticPr fontId="3" type="noConversion"/>
  </si>
  <si>
    <t>[양산] 라지역</t>
    <phoneticPr fontId="3" type="noConversion"/>
  </si>
  <si>
    <t>양산중</t>
    <phoneticPr fontId="3" type="noConversion"/>
  </si>
  <si>
    <t>삼성중</t>
    <phoneticPr fontId="3" type="noConversion"/>
  </si>
  <si>
    <t>양산중앙중</t>
    <phoneticPr fontId="3" type="noConversion"/>
  </si>
  <si>
    <t>양산고</t>
    <phoneticPr fontId="3" type="noConversion"/>
  </si>
  <si>
    <t>양산남부고</t>
    <phoneticPr fontId="3" type="noConversion"/>
  </si>
  <si>
    <t>[진주] 라지역</t>
    <phoneticPr fontId="3" type="noConversion"/>
  </si>
  <si>
    <t>[진해] 라지역</t>
    <phoneticPr fontId="3" type="noConversion"/>
  </si>
  <si>
    <t>진해신항중</t>
    <phoneticPr fontId="3" type="noConversion"/>
  </si>
  <si>
    <t>진해신항중</t>
    <phoneticPr fontId="3" type="noConversion"/>
  </si>
  <si>
    <t>감계중</t>
    <phoneticPr fontId="3" type="noConversion"/>
  </si>
  <si>
    <t>[통영] 라지역</t>
    <phoneticPr fontId="3" type="noConversion"/>
  </si>
  <si>
    <t>통영중</t>
    <phoneticPr fontId="3" type="noConversion"/>
  </si>
  <si>
    <t>[거창] 라지역</t>
    <phoneticPr fontId="3" type="noConversion"/>
  </si>
  <si>
    <t>거창나래학교</t>
    <phoneticPr fontId="3" type="noConversion"/>
  </si>
  <si>
    <t>[고성] 라지역</t>
    <phoneticPr fontId="3" type="noConversion"/>
  </si>
  <si>
    <t>고성여고</t>
    <phoneticPr fontId="3" type="noConversion"/>
  </si>
  <si>
    <t>경남고성음악고</t>
    <phoneticPr fontId="3" type="noConversion"/>
  </si>
  <si>
    <t>[남해] 라지역</t>
    <phoneticPr fontId="3" type="noConversion"/>
  </si>
  <si>
    <t>꽃내중</t>
    <phoneticPr fontId="3" type="noConversion"/>
  </si>
  <si>
    <t>[산청] 라지역</t>
    <phoneticPr fontId="3" type="noConversion"/>
  </si>
  <si>
    <t>[창녕] 라지역</t>
    <phoneticPr fontId="3" type="noConversion"/>
  </si>
  <si>
    <t>[하동] 라지역</t>
    <phoneticPr fontId="3" type="noConversion"/>
  </si>
  <si>
    <t>[함안] 리지역</t>
    <phoneticPr fontId="3" type="noConversion"/>
  </si>
  <si>
    <t>[함양] 라지역</t>
    <phoneticPr fontId="3" type="noConversion"/>
  </si>
  <si>
    <t>[합천] 라지역</t>
    <phoneticPr fontId="3" type="noConversion"/>
  </si>
  <si>
    <t>삼천포공고</t>
    <phoneticPr fontId="3" type="noConversion"/>
  </si>
  <si>
    <t>삼천포공고</t>
    <phoneticPr fontId="3" type="noConversion"/>
  </si>
  <si>
    <t>삼천포공고</t>
    <phoneticPr fontId="3" type="noConversion"/>
  </si>
  <si>
    <t>창원과학고</t>
    <phoneticPr fontId="3" type="noConversion"/>
  </si>
  <si>
    <t>창원과학고</t>
    <phoneticPr fontId="3" type="noConversion"/>
  </si>
  <si>
    <t>진해용원고</t>
    <phoneticPr fontId="3" type="noConversion"/>
  </si>
  <si>
    <t>진해용원고</t>
    <phoneticPr fontId="3" type="noConversion"/>
  </si>
  <si>
    <t>진해용원고</t>
    <phoneticPr fontId="3" type="noConversion"/>
  </si>
  <si>
    <t xml:space="preserve">농어촌학교, 창원과학고, 마이스터고 근무 경력은
농어촌 근무경력 시트에 입력하세요 </t>
    <phoneticPr fontId="3" type="noConversion"/>
  </si>
  <si>
    <t>농어촌학교
창원과학고
산업수요 등</t>
  </si>
  <si>
    <t>진주혜광학교</t>
    <phoneticPr fontId="3" type="noConversion"/>
  </si>
  <si>
    <t>한국나노마이스터고</t>
    <phoneticPr fontId="3" type="noConversion"/>
  </si>
  <si>
    <t>3. 확인 날인</t>
    <phoneticPr fontId="3" type="noConversion"/>
  </si>
  <si>
    <t>영산고</t>
    <phoneticPr fontId="3" type="noConversion"/>
  </si>
  <si>
    <t>계성중</t>
    <phoneticPr fontId="3" type="noConversion"/>
  </si>
  <si>
    <t>등대중</t>
    <phoneticPr fontId="3" type="noConversion"/>
  </si>
  <si>
    <t>의동중</t>
    <phoneticPr fontId="3" type="noConversion"/>
  </si>
  <si>
    <t>화정중</t>
    <phoneticPr fontId="3" type="noConversion"/>
  </si>
  <si>
    <t>창녕제일고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</si>
  <si>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</si>
  <si>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</si>
  <si>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</si>
  <si>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</si>
  <si>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</si>
  <si>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</si>
  <si>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</si>
  <si>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단성중신안분교장</t>
    <phoneticPr fontId="3" type="noConversion"/>
  </si>
  <si>
    <t>차황중</t>
    <phoneticPr fontId="3" type="noConversion"/>
  </si>
  <si>
    <t>가조익천고</t>
    <phoneticPr fontId="3" type="noConversion"/>
  </si>
  <si>
    <t>가조익천고</t>
    <phoneticPr fontId="3" type="noConversion"/>
  </si>
  <si>
    <t>가조익천고</t>
    <phoneticPr fontId="3" type="noConversion"/>
  </si>
  <si>
    <t>가조익천고</t>
    <phoneticPr fontId="3" type="noConversion"/>
  </si>
  <si>
    <t>초계중</t>
    <phoneticPr fontId="3" type="noConversion"/>
  </si>
  <si>
    <t>초계중</t>
    <phoneticPr fontId="3" type="noConversion"/>
  </si>
  <si>
    <t>초계중</t>
    <phoneticPr fontId="3" type="noConversion"/>
  </si>
  <si>
    <t>초계중</t>
    <phoneticPr fontId="3" type="noConversion"/>
  </si>
  <si>
    <t>양산희망학교</t>
    <phoneticPr fontId="3" type="noConversion"/>
  </si>
  <si>
    <t>양산희망학교</t>
    <phoneticPr fontId="3" type="noConversion"/>
  </si>
  <si>
    <t>경남은광학교</t>
    <phoneticPr fontId="3" type="noConversion"/>
  </si>
  <si>
    <t>초계고</t>
    <phoneticPr fontId="3" type="noConversion"/>
  </si>
  <si>
    <t>초계고</t>
    <phoneticPr fontId="3" type="noConversion"/>
  </si>
  <si>
    <t>양산희망학교</t>
    <phoneticPr fontId="3" type="noConversion"/>
  </si>
  <si>
    <t>초계종고</t>
    <phoneticPr fontId="3" type="noConversion"/>
  </si>
  <si>
    <t>경남은광학교</t>
    <phoneticPr fontId="3" type="noConversion"/>
  </si>
  <si>
    <t>[특수학교]</t>
    <phoneticPr fontId="3" type="noConversion"/>
  </si>
  <si>
    <t>[특수학교]</t>
    <phoneticPr fontId="3" type="noConversion"/>
  </si>
  <si>
    <t>[특수학교]</t>
    <phoneticPr fontId="3" type="noConversion"/>
  </si>
  <si>
    <t>통영잠포학교</t>
    <phoneticPr fontId="3" type="noConversion"/>
  </si>
  <si>
    <t>한다사중</t>
    <phoneticPr fontId="3" type="noConversion"/>
  </si>
  <si>
    <t>한다사중</t>
    <phoneticPr fontId="3" type="noConversion"/>
  </si>
  <si>
    <t>한다사중</t>
    <phoneticPr fontId="3" type="noConversion"/>
  </si>
  <si>
    <t>거창내래학교</t>
    <phoneticPr fontId="3" type="noConversion"/>
  </si>
  <si>
    <t>&lt;서식 6.3&gt;</t>
    <phoneticPr fontId="3" type="noConversion"/>
  </si>
  <si>
    <r>
      <t xml:space="preserve">1.25
(근무년도에 맞게 학교를 선택해주세요. </t>
    </r>
    <r>
      <rPr>
        <b/>
        <sz val="9"/>
        <color rgb="FFFF0000"/>
        <rFont val="굴림"/>
        <family val="3"/>
        <charset val="129"/>
      </rPr>
      <t>중간에 빈 줄이 생길 수 있음</t>
    </r>
    <r>
      <rPr>
        <sz val="9"/>
        <color theme="1"/>
        <rFont val="굴림"/>
        <family val="3"/>
        <charset val="129"/>
      </rPr>
      <t xml:space="preserve">) </t>
    </r>
    <phoneticPr fontId="3" type="noConversion"/>
  </si>
  <si>
    <t>일점</t>
  </si>
  <si>
    <t>평정점
(합산)</t>
    <phoneticPr fontId="3" type="noConversion"/>
  </si>
  <si>
    <t>평정점</t>
    <phoneticPr fontId="3" type="noConversion"/>
  </si>
  <si>
    <t>평정점</t>
    <phoneticPr fontId="3" type="noConversion"/>
  </si>
  <si>
    <t>평정점
(합계)</t>
    <phoneticPr fontId="3" type="noConversion"/>
  </si>
  <si>
    <t>농어촌 경력가산점 서식을 참고하세요</t>
    <phoneticPr fontId="3" type="noConversion"/>
  </si>
  <si>
    <t>기본경력(15년)</t>
    <phoneticPr fontId="3" type="noConversion"/>
  </si>
  <si>
    <t>초과경력
(기본경력 전 5년)</t>
    <phoneticPr fontId="3" type="noConversion"/>
  </si>
  <si>
    <t>중529</t>
    <phoneticPr fontId="3" type="noConversion"/>
  </si>
  <si>
    <t>모산중</t>
    <phoneticPr fontId="3" type="noConversion"/>
  </si>
  <si>
    <t>1. 대상자</t>
    <phoneticPr fontId="3" type="noConversion"/>
  </si>
  <si>
    <t>미리벌중</t>
    <phoneticPr fontId="3" type="noConversion"/>
  </si>
  <si>
    <t>2. 기본경력 평정(예: 2007.03.01 ~ 2022.02.28.)</t>
    <phoneticPr fontId="3" type="noConversion"/>
  </si>
  <si>
    <t>3. 초과경력 평정(예:  2021.03.01.~2007.02.28.)</t>
    <phoneticPr fontId="3" type="noConversion"/>
  </si>
  <si>
    <t>농어촌 학교 근무 기간</t>
    <phoneticPr fontId="3" type="noConversion"/>
  </si>
  <si>
    <t>1995.3.1. ~ 1998.2.28.</t>
    <phoneticPr fontId="3" type="noConversion"/>
  </si>
  <si>
    <t>근무 기관 선택</t>
    <phoneticPr fontId="3" type="noConversion"/>
  </si>
  <si>
    <t>[시작일]</t>
  </si>
  <si>
    <t>[시작일]</t>
    <phoneticPr fontId="3" type="noConversion"/>
  </si>
  <si>
    <r>
      <t xml:space="preserve">농어촌학교 근무 경력
</t>
    </r>
    <r>
      <rPr>
        <b/>
        <sz val="22"/>
        <color theme="1"/>
        <rFont val="굴림"/>
        <family val="3"/>
        <charset val="129"/>
      </rPr>
      <t>(노란셀 영역을 작성해햐 합니다.)</t>
    </r>
    <phoneticPr fontId="3" type="noConversion"/>
  </si>
  <si>
    <r>
      <t xml:space="preserve">1998.3.1. ~ 2008.12.31 </t>
    </r>
    <r>
      <rPr>
        <b/>
        <sz val="16"/>
        <rFont val="굴림"/>
        <family val="3"/>
        <charset val="129"/>
      </rPr>
      <t>가</t>
    </r>
    <r>
      <rPr>
        <sz val="14"/>
        <rFont val="굴림"/>
        <family val="3"/>
        <charset val="129"/>
      </rPr>
      <t>지역</t>
    </r>
    <phoneticPr fontId="3" type="noConversion"/>
  </si>
  <si>
    <r>
      <t xml:space="preserve">2009.1.1. ~ 2013.12.31 </t>
    </r>
    <r>
      <rPr>
        <b/>
        <sz val="16"/>
        <color theme="1"/>
        <rFont val="굴림"/>
        <family val="3"/>
        <charset val="129"/>
      </rPr>
      <t>가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</si>
  <si>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2014.1.1. 이후 </t>
    </r>
    <r>
      <rPr>
        <b/>
        <sz val="16"/>
        <color theme="1"/>
        <rFont val="굴림"/>
        <family val="3"/>
        <charset val="129"/>
      </rPr>
      <t>가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</si>
  <si>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2009.1.1. ~ 2013.12.31 </t>
    </r>
    <r>
      <rPr>
        <b/>
        <sz val="16"/>
        <color rgb="FF0000FF"/>
        <rFont val="굴림"/>
        <family val="3"/>
        <charset val="129"/>
      </rPr>
      <t>나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</si>
  <si>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2014.1.1. 이후 </t>
    </r>
    <r>
      <rPr>
        <b/>
        <sz val="16"/>
        <rFont val="굴림"/>
        <family val="3"/>
        <charset val="129"/>
      </rPr>
      <t>가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</si>
  <si>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2014.1.1. 이후 </t>
    </r>
    <r>
      <rPr>
        <b/>
        <sz val="16"/>
        <color rgb="FF0000FF"/>
        <rFont val="굴림"/>
        <family val="3"/>
        <charset val="129"/>
      </rPr>
      <t>나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</si>
  <si>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2014.1.1. 이후 </t>
    </r>
    <r>
      <rPr>
        <b/>
        <sz val="16"/>
        <color rgb="FFFF0000"/>
        <rFont val="굴림"/>
        <family val="3"/>
        <charset val="129"/>
      </rPr>
      <t>다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</si>
  <si>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2016.1.1. 이후 </t>
    </r>
    <r>
      <rPr>
        <b/>
        <sz val="16"/>
        <color theme="1"/>
        <rFont val="굴림"/>
        <family val="3"/>
        <charset val="129"/>
      </rPr>
      <t>가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</si>
  <si>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2016.1.1. 이후 </t>
    </r>
    <r>
      <rPr>
        <b/>
        <sz val="16"/>
        <color rgb="FFFF0000"/>
        <rFont val="굴림"/>
        <family val="3"/>
        <charset val="129"/>
      </rPr>
      <t>다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</si>
  <si>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2016.1.1. 이후 </t>
    </r>
    <r>
      <rPr>
        <b/>
        <sz val="16"/>
        <color rgb="FF0000FF"/>
        <rFont val="굴림"/>
        <family val="3"/>
        <charset val="129"/>
      </rPr>
      <t>나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</si>
  <si>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2016.1.1. 이후 </t>
    </r>
    <r>
      <rPr>
        <b/>
        <sz val="16"/>
        <color rgb="FF0000FF"/>
        <rFont val="굴림"/>
        <family val="3"/>
        <charset val="129"/>
      </rPr>
      <t>라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</si>
  <si>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t>1998.3.1. ~ 2008.12.31.</t>
  </si>
  <si>
    <t>근무 경력 기간</t>
    <phoneticPr fontId="3" type="noConversion"/>
  </si>
  <si>
    <t>2009.1.1. ~ 2013.12.31.</t>
  </si>
  <si>
    <t>2014.1.1. 이후</t>
  </si>
  <si>
    <t>2016.1.1. 이후</t>
  </si>
  <si>
    <t>급지</t>
    <phoneticPr fontId="3" type="noConversion"/>
  </si>
  <si>
    <t>가</t>
    <phoneticPr fontId="3" type="noConversion"/>
  </si>
  <si>
    <t>나</t>
    <phoneticPr fontId="3" type="noConversion"/>
  </si>
  <si>
    <t>다</t>
    <phoneticPr fontId="3" type="noConversion"/>
  </si>
  <si>
    <t>라</t>
    <phoneticPr fontId="3" type="noConversion"/>
  </si>
  <si>
    <t>전국기능
경기대회실적</t>
    <phoneticPr fontId="3" type="noConversion"/>
  </si>
  <si>
    <t>교육연구,영재,발명,기능경기,학력향상</t>
    <phoneticPr fontId="3" type="noConversion"/>
  </si>
  <si>
    <t>상한점(0.5)</t>
    <phoneticPr fontId="3" type="noConversion"/>
  </si>
  <si>
    <t>교감</t>
  </si>
  <si>
    <t>거창승강기고</t>
    <phoneticPr fontId="3" type="noConversion"/>
  </si>
  <si>
    <t>특수교육지원센터</t>
    <phoneticPr fontId="3" type="noConversion"/>
  </si>
  <si>
    <t>진영장등중</t>
    <phoneticPr fontId="3" type="noConversion"/>
  </si>
  <si>
    <t>창원과학고</t>
    <phoneticPr fontId="3" type="noConversion"/>
  </si>
  <si>
    <t>진영장등중</t>
    <phoneticPr fontId="3" type="noConversion"/>
  </si>
  <si>
    <t>* 한국사 연수 또는 급수는 교감자격연수대상후보자만 작성합니다.</t>
    <phoneticPr fontId="3" type="noConversion"/>
  </si>
  <si>
    <t>중812</t>
    <phoneticPr fontId="3" type="noConversion"/>
  </si>
  <si>
    <t>금오중</t>
    <phoneticPr fontId="3" type="noConversion"/>
  </si>
  <si>
    <t>금오중</t>
    <phoneticPr fontId="3" type="noConversion"/>
  </si>
  <si>
    <t>고제분교장</t>
    <phoneticPr fontId="3" type="noConversion"/>
  </si>
  <si>
    <t>고984</t>
    <phoneticPr fontId="3" type="noConversion"/>
  </si>
  <si>
    <t>거창연극고</t>
    <phoneticPr fontId="3" type="noConversion"/>
  </si>
  <si>
    <r>
      <t xml:space="preserve">경력 평정표
</t>
    </r>
    <r>
      <rPr>
        <b/>
        <sz val="11"/>
        <color rgb="FF000000"/>
        <rFont val="바탕"/>
        <family val="1"/>
        <charset val="129"/>
      </rPr>
      <t>(2023.3.31.자 명부작성용)</t>
    </r>
    <phoneticPr fontId="3" type="noConversion"/>
  </si>
  <si>
    <r>
      <t xml:space="preserve">연수성적 평정표
</t>
    </r>
    <r>
      <rPr>
        <b/>
        <sz val="11"/>
        <color rgb="FF000000"/>
        <rFont val="바탕"/>
        <family val="1"/>
        <charset val="129"/>
      </rPr>
      <t>(2023.3.31.자 명부작성용)</t>
    </r>
    <phoneticPr fontId="3" type="noConversion"/>
  </si>
  <si>
    <r>
      <t xml:space="preserve">경력 가산점 평정표
</t>
    </r>
    <r>
      <rPr>
        <b/>
        <sz val="11"/>
        <color rgb="FF000000"/>
        <rFont val="바탕"/>
        <family val="1"/>
        <charset val="129"/>
      </rPr>
      <t>(2023.3.31.자 명부작성용)</t>
    </r>
    <phoneticPr fontId="3" type="noConversion"/>
  </si>
  <si>
    <t>2010.01.06-2010.02.07</t>
    <phoneticPr fontId="3" type="noConversion"/>
  </si>
  <si>
    <t>교육실습대용학교</t>
    <phoneticPr fontId="3" type="noConversion"/>
  </si>
  <si>
    <t>농어촌학교, 창원과학고
산업수요 등</t>
    <phoneticPr fontId="3" type="noConversion"/>
  </si>
  <si>
    <t>도내 교육/행정/연구기관</t>
    <phoneticPr fontId="3" type="noConversion"/>
  </si>
  <si>
    <t>EBS, 낙동강, 진산/남해/칠북 분원/특수교육원 근무경력</t>
    <phoneticPr fontId="3" type="noConversion"/>
  </si>
  <si>
    <t>(선택)
교육감지정 
연구/꿈나르미학교/
교육실습협력학교</t>
    <phoneticPr fontId="3" type="noConversion"/>
  </si>
  <si>
    <t>야로중</t>
    <phoneticPr fontId="3" type="noConversion"/>
  </si>
  <si>
    <t>청덕중</t>
    <phoneticPr fontId="3" type="noConversion"/>
  </si>
  <si>
    <t>합천고</t>
    <phoneticPr fontId="3" type="noConversion"/>
  </si>
  <si>
    <t>야로고</t>
    <phoneticPr fontId="3" type="noConversion"/>
  </si>
  <si>
    <t>중160</t>
    <phoneticPr fontId="3" type="noConversion"/>
  </si>
  <si>
    <t>웅천중</t>
    <phoneticPr fontId="3" type="noConversion"/>
  </si>
  <si>
    <t>중813</t>
    <phoneticPr fontId="3" type="noConversion"/>
  </si>
  <si>
    <t>사송중</t>
    <phoneticPr fontId="3" type="noConversion"/>
  </si>
  <si>
    <t>고115</t>
    <phoneticPr fontId="3" type="noConversion"/>
  </si>
  <si>
    <t>창원북면고</t>
    <phoneticPr fontId="3" type="noConversion"/>
  </si>
  <si>
    <t>고140</t>
    <phoneticPr fontId="3" type="noConversion"/>
  </si>
  <si>
    <t>경남온라인학교</t>
    <phoneticPr fontId="3" type="noConversion"/>
  </si>
  <si>
    <t>고522</t>
    <phoneticPr fontId="3" type="noConversion"/>
  </si>
  <si>
    <t>김해금곡고</t>
    <phoneticPr fontId="3" type="noConversion"/>
  </si>
  <si>
    <t>고807</t>
    <phoneticPr fontId="3" type="noConversion"/>
  </si>
  <si>
    <t>증산고</t>
    <phoneticPr fontId="3" type="noConversion"/>
  </si>
  <si>
    <t>특109</t>
    <phoneticPr fontId="3" type="noConversion"/>
  </si>
  <si>
    <t>밀양아리솔학교</t>
    <phoneticPr fontId="3" type="noConversion"/>
  </si>
  <si>
    <t>웅천중</t>
    <phoneticPr fontId="3" type="noConversion"/>
  </si>
  <si>
    <t>경남산업고</t>
    <phoneticPr fontId="3" type="noConversion"/>
  </si>
  <si>
    <t>자격연수대상후보자</t>
  </si>
  <si>
    <r>
      <t xml:space="preserve">2016.1.1. 이후 </t>
    </r>
    <r>
      <rPr>
        <b/>
        <sz val="14"/>
        <color rgb="FF0000FF"/>
        <rFont val="굴림"/>
        <family val="3"/>
        <charset val="129"/>
      </rPr>
      <t>라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</si>
  <si>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t>타시도 전입 교원만 작성</t>
    <phoneticPr fontId="3" type="noConversion"/>
  </si>
  <si>
    <t>다</t>
    <phoneticPr fontId="3" type="noConversion"/>
  </si>
  <si>
    <t>&lt;-공동연구는 점수를 확인하고 해당 줄에 입력하세요</t>
    <phoneticPr fontId="3" type="noConversion"/>
  </si>
  <si>
    <t>상한점(0.5)</t>
    <phoneticPr fontId="3" type="noConversion"/>
  </si>
  <si>
    <t>김해은혜학교</t>
    <phoneticPr fontId="3" type="noConversion"/>
  </si>
  <si>
    <t>김해은혜학교</t>
    <phoneticPr fontId="3" type="noConversion"/>
  </si>
  <si>
    <t>의령은광학교</t>
    <phoneticPr fontId="3" type="noConversion"/>
  </si>
  <si>
    <t>※ 예) 기본경력: 2009.03.01 ~ 2024.02.29.</t>
    <phoneticPr fontId="3" type="noConversion"/>
  </si>
  <si>
    <t>초과경력: 2004.03.01.~2009.02.28.</t>
    <phoneticPr fontId="3" type="noConversion"/>
  </si>
  <si>
    <r>
      <t>2) 직무연수성적(</t>
    </r>
    <r>
      <rPr>
        <b/>
        <sz val="9"/>
        <color theme="1"/>
        <rFont val="굴림"/>
        <family val="3"/>
        <charset val="129"/>
      </rPr>
      <t>2014.01.01. ~2024.02.29.</t>
    </r>
    <r>
      <rPr>
        <sz val="9"/>
        <color theme="1"/>
        <rFont val="굴림"/>
        <family val="3"/>
        <charset val="129"/>
      </rPr>
      <t>)</t>
    </r>
    <phoneticPr fontId="3" type="noConversion"/>
  </si>
  <si>
    <t>한국대(석사)</t>
    <phoneticPr fontId="3" type="noConversion"/>
  </si>
  <si>
    <r>
      <t xml:space="preserve">&lt;- 반드시 </t>
    </r>
    <r>
      <rPr>
        <sz val="9"/>
        <color rgb="FFFF0000"/>
        <rFont val="굴림"/>
        <family val="3"/>
        <charset val="129"/>
      </rPr>
      <t>최종학력</t>
    </r>
    <r>
      <rPr>
        <sz val="9"/>
        <color theme="0" tint="-0.499984740745262"/>
        <rFont val="굴림"/>
        <family val="3"/>
        <charset val="129"/>
      </rPr>
      <t>의 대학명과 학위를 작성할 것. 예: 한국대(석사)</t>
    </r>
    <phoneticPr fontId="3" type="noConversion"/>
  </si>
  <si>
    <r>
      <t>* C13셀의 교감선택자는 B84셀의 "</t>
    </r>
    <r>
      <rPr>
        <b/>
        <sz val="8"/>
        <color rgb="FFFF0000"/>
        <rFont val="굴림"/>
        <family val="3"/>
        <charset val="129"/>
      </rPr>
      <t>경남교육정책이해직무연수</t>
    </r>
    <r>
      <rPr>
        <sz val="8"/>
        <color theme="1"/>
        <rFont val="굴림"/>
        <family val="3"/>
        <charset val="129"/>
      </rPr>
      <t>"를 지우면 안됨.</t>
    </r>
    <phoneticPr fontId="3" type="noConversion"/>
  </si>
  <si>
    <t>성별</t>
    <phoneticPr fontId="3" type="noConversion"/>
  </si>
  <si>
    <t>남</t>
  </si>
  <si>
    <t>생활
근거지</t>
    <phoneticPr fontId="3" type="noConversion"/>
  </si>
  <si>
    <t>06.07.15-06.08.20</t>
    <phoneticPr fontId="3" type="noConversion"/>
  </si>
  <si>
    <r>
      <t xml:space="preserve">종합평정표
</t>
    </r>
    <r>
      <rPr>
        <b/>
        <sz val="11"/>
        <rFont val="바탕"/>
        <family val="1"/>
        <charset val="129"/>
      </rPr>
      <t>(2024.3.31.자 명부작성용)</t>
    </r>
    <phoneticPr fontId="3" type="noConversion"/>
  </si>
  <si>
    <t>실적 가산점 평정표</t>
    <phoneticPr fontId="3" type="noConversion"/>
  </si>
  <si>
    <t>(2024.3.31.자 명부작성용)</t>
    <phoneticPr fontId="3" type="noConversion"/>
  </si>
  <si>
    <t>농어촌경력 가산점 평정표</t>
    <phoneticPr fontId="3" type="noConversion"/>
  </si>
  <si>
    <t>국어</t>
    <phoneticPr fontId="3" type="noConversion"/>
  </si>
  <si>
    <t>교감</t>
    <phoneticPr fontId="3" type="noConversion"/>
  </si>
  <si>
    <t>김교감</t>
    <phoneticPr fontId="3" type="noConversion"/>
  </si>
  <si>
    <t>교장</t>
    <phoneticPr fontId="3" type="noConversion"/>
  </si>
  <si>
    <t>이교장</t>
    <phoneticPr fontId="3" type="noConversion"/>
  </si>
  <si>
    <t>한국나노마이스터고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</si>
</sst>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0_);[Red]\(0\)"/>
    <numFmt numFmtId="177" formatCode="0.00_ "/>
    <numFmt numFmtId="178" formatCode="0.000_ "/>
    <numFmt numFmtId="179" formatCode="0.000_);[Red]\(0.000\)"/>
    <numFmt numFmtId="180" formatCode="0.0000_ "/>
    <numFmt numFmtId="181" formatCode="000000"/>
    <numFmt numFmtId="182" formatCode="0.00000_);[Red]\(0.00000\)"/>
    <numFmt numFmtId="183" formatCode="yy/mm/dd"/>
    <numFmt numFmtId="184" formatCode="0.00_);[Red]\(0.00\)"/>
    <numFmt numFmtId="185" formatCode="0.000"/>
    <numFmt numFmtId="186" formatCode="0.000000_);[Red]\(0.000000\)"/>
    <numFmt numFmtId="187" formatCode="0_ "/>
  </numFmts>
  <fonts count="68" x14ac:knownFonts="1">
    <font>
      <sz val="11"/>
      <color theme="1"/>
      <name val="맑은 고딕"/>
      <family val="2"/>
      <charset val="129"/>
      <scheme val="minor"/>
    </font>
    <font>
      <b/>
      <sz val="11"/>
      <color rgb="FF000000"/>
      <name val="바탕"/>
      <family val="1"/>
      <charset val="129"/>
    </font>
    <font>
      <sz val="11"/>
      <color rgb="FF00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9"/>
      <color rgb="FF0000FF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FF"/>
      <name val="굴림"/>
      <family val="3"/>
      <charset val="129"/>
    </font>
    <font>
      <sz val="9"/>
      <name val="굴림"/>
      <family val="3"/>
      <charset val="129"/>
    </font>
    <font>
      <sz val="9"/>
      <color theme="0"/>
      <name val="굴림"/>
      <family val="3"/>
      <charset val="129"/>
    </font>
    <font>
      <b/>
      <sz val="9"/>
      <color theme="0"/>
      <name val="굴림"/>
      <family val="3"/>
      <charset val="129"/>
    </font>
    <font>
      <b/>
      <sz val="9"/>
      <name val="굴림"/>
      <family val="3"/>
      <charset val="129"/>
    </font>
    <font>
      <sz val="9"/>
      <color theme="0" tint="-0.499984740745262"/>
      <name val="굴림"/>
      <family val="3"/>
      <charset val="129"/>
    </font>
    <font>
      <b/>
      <sz val="9"/>
      <color theme="0" tint="-0.499984740745262"/>
      <name val="굴림"/>
      <family val="3"/>
      <charset val="129"/>
    </font>
    <font>
      <sz val="12"/>
      <color rgb="FF000000"/>
      <name val="굴림"/>
      <family val="3"/>
      <charset val="129"/>
    </font>
    <font>
      <sz val="12"/>
      <color theme="1"/>
      <name val="굴림"/>
      <family val="3"/>
      <charset val="129"/>
    </font>
    <font>
      <b/>
      <sz val="20"/>
      <color rgb="FF000000"/>
      <name val="바탕"/>
      <family val="1"/>
      <charset val="129"/>
    </font>
    <font>
      <sz val="11"/>
      <color theme="1"/>
      <name val="바탕"/>
      <family val="1"/>
      <charset val="129"/>
    </font>
    <font>
      <b/>
      <sz val="48"/>
      <color theme="0"/>
      <name val="굴림"/>
      <family val="3"/>
      <charset val="129"/>
    </font>
    <font>
      <sz val="11"/>
      <name val="바탕"/>
      <family val="1"/>
      <charset val="129"/>
    </font>
    <font>
      <sz val="10"/>
      <color theme="1"/>
      <name val="바탕"/>
      <family val="1"/>
      <charset val="129"/>
    </font>
    <font>
      <b/>
      <sz val="10"/>
      <color rgb="FF000000"/>
      <name val="바탕"/>
      <family val="1"/>
      <charset val="129"/>
    </font>
    <font>
      <sz val="10"/>
      <color rgb="FF000000"/>
      <name val="바탕"/>
      <family val="1"/>
      <charset val="129"/>
    </font>
    <font>
      <b/>
      <sz val="20"/>
      <color theme="1"/>
      <name val="바탕"/>
      <family val="1"/>
      <charset val="129"/>
    </font>
    <font>
      <sz val="12"/>
      <color rgb="FF0000FF"/>
      <name val="굴림"/>
      <family val="3"/>
      <charset val="129"/>
    </font>
    <font>
      <sz val="11"/>
      <name val="돋움"/>
      <family val="3"/>
      <charset val="129"/>
    </font>
    <font>
      <b/>
      <sz val="10"/>
      <color theme="1"/>
      <name val="바탕"/>
      <family val="1"/>
      <charset val="129"/>
    </font>
    <font>
      <sz val="10"/>
      <color rgb="FF0000FF"/>
      <name val="굴림"/>
      <family val="3"/>
      <charset val="129"/>
    </font>
    <font>
      <b/>
      <sz val="10"/>
      <color rgb="FF0000FF"/>
      <name val="굴림"/>
      <family val="3"/>
      <charset val="129"/>
    </font>
    <font>
      <sz val="15"/>
      <color theme="1"/>
      <name val="바탕"/>
      <family val="1"/>
      <charset val="129"/>
    </font>
    <font>
      <sz val="11"/>
      <color theme="0" tint="-0.499984740745262"/>
      <name val="바탕"/>
      <family val="1"/>
      <charset val="129"/>
    </font>
    <font>
      <b/>
      <sz val="11"/>
      <name val="바탕"/>
      <family val="1"/>
      <charset val="129"/>
    </font>
    <font>
      <b/>
      <sz val="20"/>
      <name val="바탕"/>
      <family val="1"/>
      <charset val="129"/>
    </font>
    <font>
      <b/>
      <sz val="16"/>
      <name val="바탕"/>
      <family val="1"/>
      <charset val="129"/>
    </font>
    <font>
      <sz val="11"/>
      <color theme="0" tint="-0.249977111117893"/>
      <name val="바탕"/>
      <family val="1"/>
      <charset val="129"/>
    </font>
    <font>
      <sz val="9"/>
      <color theme="1"/>
      <name val="바탕"/>
      <family val="1"/>
      <charset val="129"/>
    </font>
    <font>
      <sz val="9"/>
      <color theme="0"/>
      <name val="바탕"/>
      <family val="1"/>
      <charset val="129"/>
    </font>
    <font>
      <sz val="11"/>
      <color theme="0"/>
      <name val="바탕"/>
      <family val="1"/>
      <charset val="129"/>
    </font>
    <font>
      <sz val="8"/>
      <color rgb="FF0000FF"/>
      <name val="굴림"/>
      <family val="3"/>
      <charset val="129"/>
    </font>
    <font>
      <sz val="10"/>
      <name val="바탕"/>
      <family val="1"/>
      <charset val="129"/>
    </font>
    <font>
      <sz val="8"/>
      <color theme="1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바탕"/>
      <family val="1"/>
      <charset val="129"/>
    </font>
    <font>
      <b/>
      <sz val="9"/>
      <color rgb="FFFF0000"/>
      <name val="굴림"/>
      <family val="3"/>
      <charset val="129"/>
    </font>
    <font>
      <b/>
      <sz val="28"/>
      <color theme="1"/>
      <name val="굴림"/>
      <family val="3"/>
      <charset val="129"/>
    </font>
    <font>
      <b/>
      <sz val="22"/>
      <color theme="1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name val="굴림"/>
      <family val="3"/>
      <charset val="129"/>
    </font>
    <font>
      <sz val="12"/>
      <color theme="0" tint="-0.499984740745262"/>
      <name val="굴림"/>
      <family val="3"/>
      <charset val="129"/>
    </font>
    <font>
      <sz val="14"/>
      <color theme="1"/>
      <name val="굴림"/>
      <family val="3"/>
      <charset val="129"/>
    </font>
    <font>
      <sz val="14"/>
      <name val="굴림"/>
      <family val="3"/>
      <charset val="129"/>
    </font>
    <font>
      <sz val="14"/>
      <color rgb="FF0000FF"/>
      <name val="굴림"/>
      <family val="3"/>
      <charset val="129"/>
    </font>
    <font>
      <b/>
      <sz val="16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16"/>
      <color rgb="FF0000FF"/>
      <name val="굴림"/>
      <family val="3"/>
      <charset val="129"/>
    </font>
    <font>
      <b/>
      <sz val="16"/>
      <color rgb="FFFF0000"/>
      <name val="굴림"/>
      <family val="3"/>
      <charset val="129"/>
    </font>
    <font>
      <b/>
      <sz val="12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2"/>
      <color rgb="FF0000FF"/>
      <name val="바탕"/>
      <family val="1"/>
      <charset val="129"/>
    </font>
    <font>
      <b/>
      <sz val="12"/>
      <color rgb="FFFF0000"/>
      <name val="바탕"/>
      <family val="1"/>
      <charset val="129"/>
    </font>
    <font>
      <b/>
      <sz val="12"/>
      <color rgb="FF7030A0"/>
      <name val="바탕"/>
      <family val="1"/>
      <charset val="129"/>
    </font>
    <font>
      <b/>
      <sz val="14"/>
      <color rgb="FF0000FF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8"/>
      <color rgb="FFFF0000"/>
      <name val="굴림"/>
      <family val="3"/>
      <charset val="129"/>
    </font>
    <font>
      <b/>
      <sz val="12"/>
      <color rgb="FF000000"/>
      <name val="바탕"/>
      <family val="1"/>
      <charset val="129"/>
    </font>
  </fonts>
  <fills count="13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6D6D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/>
      <right style="medium">
        <color theme="0" tint="-0.499984740745262"/>
      </right>
      <top/>
      <bottom style="thin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 style="thin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theme="0" tint="-0.499984740745262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auto="1"/>
      </right>
      <top style="thin">
        <color theme="0" tint="-0.499984740745262"/>
      </top>
      <bottom style="thin">
        <color auto="1"/>
      </bottom>
      <diagonal/>
    </border>
    <border>
      <left/>
      <right style="thin">
        <color auto="1"/>
      </right>
      <top/>
      <bottom style="thin">
        <color theme="0" tint="-0.499984740745262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/>
      <bottom style="medium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1" tint="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1" tint="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1" tint="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indexed="64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indexed="64"/>
      </bottom>
      <diagonal/>
    </border>
    <border>
      <left style="medium">
        <color theme="1" tint="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/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medium">
        <color theme="1" tint="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1" tint="0.499984740745262"/>
      </right>
      <top/>
      <bottom/>
      <diagonal/>
    </border>
    <border>
      <left style="thin">
        <color theme="0" tint="-0.499984740745262"/>
      </left>
      <right style="medium">
        <color theme="1" tint="0.499984740745262"/>
      </right>
      <top/>
      <bottom style="medium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 style="thin">
        <color indexed="64"/>
      </left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medium">
        <color theme="0" tint="-0.499984740745262"/>
      </bottom>
      <diagonal/>
    </border>
    <border>
      <left style="thin">
        <color indexed="64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/>
      <top style="medium">
        <color theme="0" tint="-0.499984740745262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medium">
        <color theme="1" tint="0.499984740745262"/>
      </right>
      <top/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/>
      <diagonal/>
    </border>
  </borders>
  <cellStyleXfs count="2">
    <xf numFmtId="0" fontId="0" fillId="0" borderId="0">
      <alignment vertical="center"/>
    </xf>
    <xf numFmtId="0" fontId="26" fillId="0" borderId="0"/>
  </cellStyleXfs>
  <cellXfs count="1239">
    <xf numFmtId="0" fontId="0" fillId="0" borderId="0" xfId="0">
      <alignment vertical="center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justify" vertical="center" wrapText="1"/>
    </xf>
    <xf numFmtId="0" fontId="16" fillId="0" borderId="0" xfId="0" applyFont="1" applyBorder="1">
      <alignment vertical="center"/>
    </xf>
    <xf numFmtId="0" fontId="18" fillId="0" borderId="0" xfId="0" applyFont="1">
      <alignment vertical="center"/>
    </xf>
    <xf numFmtId="0" fontId="2" fillId="0" borderId="0" xfId="0" applyFont="1" applyAlignment="1">
      <alignment horizontal="justify" vertical="center"/>
    </xf>
    <xf numFmtId="0" fontId="21" fillId="0" borderId="0" xfId="0" applyFont="1">
      <alignment vertical="center"/>
    </xf>
    <xf numFmtId="0" fontId="15" fillId="0" borderId="0" xfId="0" applyFont="1" applyFill="1" applyBorder="1" applyAlignment="1">
      <alignment horizontal="left" vertical="center" wrapText="1"/>
    </xf>
    <xf numFmtId="0" fontId="25" fillId="0" borderId="0" xfId="0" applyFont="1" applyBorder="1" applyAlignment="1">
      <alignment horizontal="justify" vertical="center" wrapText="1"/>
    </xf>
    <xf numFmtId="0" fontId="25" fillId="0" borderId="0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83" fontId="2" fillId="0" borderId="12" xfId="0" applyNumberFormat="1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9" fillId="0" borderId="0" xfId="0" applyFont="1" applyAlignment="1">
      <alignment horizontal="center" vertical="center"/>
    </xf>
    <xf numFmtId="0" fontId="22" fillId="7" borderId="8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2" fillId="7" borderId="2" xfId="0" applyFont="1" applyFill="1" applyBorder="1" applyAlignment="1">
      <alignment horizontal="center" vertical="center" wrapText="1"/>
    </xf>
    <xf numFmtId="0" fontId="23" fillId="0" borderId="10" xfId="0" applyFont="1" applyBorder="1" applyAlignment="1" applyProtection="1">
      <alignment horizontal="center" vertical="center" wrapText="1"/>
    </xf>
    <xf numFmtId="0" fontId="23" fillId="0" borderId="4" xfId="0" applyFont="1" applyBorder="1" applyAlignment="1" applyProtection="1">
      <alignment horizontal="center" vertical="center" wrapText="1"/>
    </xf>
    <xf numFmtId="0" fontId="23" fillId="0" borderId="4" xfId="0" applyFont="1" applyBorder="1" applyAlignment="1" applyProtection="1">
      <alignment horizontal="center" vertical="center" shrinkToFit="1"/>
    </xf>
    <xf numFmtId="178" fontId="23" fillId="0" borderId="4" xfId="0" applyNumberFormat="1" applyFont="1" applyBorder="1" applyAlignment="1" applyProtection="1">
      <alignment horizontal="center" vertical="center" wrapText="1"/>
    </xf>
    <xf numFmtId="0" fontId="23" fillId="0" borderId="11" xfId="0" applyFont="1" applyBorder="1" applyAlignment="1" applyProtection="1">
      <alignment horizontal="center" vertical="center" wrapText="1"/>
    </xf>
    <xf numFmtId="0" fontId="21" fillId="0" borderId="1" xfId="0" applyFont="1" applyBorder="1" applyAlignment="1" applyProtection="1">
      <alignment horizontal="center" vertical="center" shrinkToFit="1"/>
    </xf>
    <xf numFmtId="0" fontId="21" fillId="0" borderId="1" xfId="0" applyFont="1" applyBorder="1" applyAlignment="1" applyProtection="1">
      <alignment horizontal="center" vertical="center"/>
    </xf>
    <xf numFmtId="177" fontId="21" fillId="0" borderId="1" xfId="0" applyNumberFormat="1" applyFont="1" applyBorder="1" applyAlignment="1" applyProtection="1">
      <alignment horizontal="center" vertical="center"/>
    </xf>
    <xf numFmtId="0" fontId="30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 applyProtection="1">
      <alignment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 shrinkToFit="1"/>
      <protection locked="0"/>
    </xf>
    <xf numFmtId="184" fontId="7" fillId="0" borderId="12" xfId="0" applyNumberFormat="1" applyFont="1" applyFill="1" applyBorder="1" applyAlignment="1" applyProtection="1">
      <alignment horizontal="center" vertical="center" wrapText="1"/>
    </xf>
    <xf numFmtId="0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83" fontId="7" fillId="9" borderId="12" xfId="0" applyNumberFormat="1" applyFont="1" applyFill="1" applyBorder="1" applyAlignment="1" applyProtection="1">
      <alignment horizontal="center" vertical="center" wrapText="1"/>
      <protection locked="0"/>
    </xf>
    <xf numFmtId="182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wrapText="1"/>
      <protection locked="0"/>
    </xf>
    <xf numFmtId="0" fontId="5" fillId="9" borderId="12" xfId="0" applyFont="1" applyFill="1" applyBorder="1" applyAlignment="1" applyProtection="1">
      <alignment horizontal="center" vertical="center"/>
      <protection locked="0"/>
    </xf>
    <xf numFmtId="177" fontId="5" fillId="9" borderId="12" xfId="0" applyNumberFormat="1" applyFont="1" applyFill="1" applyBorder="1" applyAlignment="1" applyProtection="1">
      <alignment horizontal="center" vertical="center"/>
      <protection locked="0"/>
    </xf>
    <xf numFmtId="0" fontId="12" fillId="9" borderId="17" xfId="0" applyFont="1" applyFill="1" applyBorder="1" applyAlignment="1" applyProtection="1">
      <alignment horizontal="left" vertical="center"/>
      <protection locked="0"/>
    </xf>
    <xf numFmtId="0" fontId="12" fillId="9" borderId="21" xfId="0" applyFont="1" applyFill="1" applyBorder="1" applyAlignment="1" applyProtection="1">
      <alignment horizontal="left" vertical="center"/>
      <protection locked="0"/>
    </xf>
    <xf numFmtId="177" fontId="5" fillId="9" borderId="14" xfId="0" applyNumberFormat="1" applyFont="1" applyFill="1" applyBorder="1" applyAlignment="1" applyProtection="1">
      <alignment horizontal="center" vertical="center"/>
      <protection locked="0"/>
    </xf>
    <xf numFmtId="0" fontId="5" fillId="9" borderId="14" xfId="0" applyFont="1" applyFill="1" applyBorder="1" applyAlignment="1" applyProtection="1">
      <alignment horizontal="center" vertical="center"/>
      <protection locked="0"/>
    </xf>
    <xf numFmtId="0" fontId="7" fillId="9" borderId="18" xfId="0" applyFont="1" applyFill="1" applyBorder="1" applyAlignment="1" applyProtection="1">
      <alignment horizontal="center" vertical="center" shrinkToFit="1"/>
      <protection locked="0"/>
    </xf>
    <xf numFmtId="0" fontId="7" fillId="9" borderId="20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183" fontId="7" fillId="9" borderId="14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14" xfId="0" applyFont="1" applyFill="1" applyBorder="1" applyAlignment="1" applyProtection="1">
      <alignment horizontal="center" vertical="center" wrapText="1"/>
      <protection locked="0"/>
    </xf>
    <xf numFmtId="0" fontId="7" fillId="9" borderId="14" xfId="0" applyNumberFormat="1" applyFont="1" applyFill="1" applyBorder="1" applyAlignment="1" applyProtection="1">
      <alignment horizontal="center" vertical="center" shrinkToFit="1"/>
      <protection locked="0"/>
    </xf>
    <xf numFmtId="0" fontId="9" fillId="9" borderId="17" xfId="0" applyFont="1" applyFill="1" applyBorder="1" applyAlignment="1" applyProtection="1">
      <alignment horizontal="left" vertical="center"/>
      <protection locked="0"/>
    </xf>
    <xf numFmtId="0" fontId="9" fillId="9" borderId="19" xfId="0" applyFont="1" applyFill="1" applyBorder="1" applyAlignment="1" applyProtection="1">
      <alignment horizontal="left" vertical="center"/>
      <protection locked="0"/>
    </xf>
    <xf numFmtId="181" fontId="9" fillId="9" borderId="19" xfId="0" applyNumberFormat="1" applyFont="1" applyFill="1" applyBorder="1" applyAlignment="1" applyProtection="1">
      <alignment horizontal="left" vertical="center"/>
      <protection locked="0"/>
    </xf>
    <xf numFmtId="0" fontId="9" fillId="9" borderId="19" xfId="0" applyFont="1" applyFill="1" applyBorder="1" applyAlignment="1" applyProtection="1">
      <alignment horizontal="left" vertical="center" shrinkToFit="1"/>
      <protection locked="0"/>
    </xf>
    <xf numFmtId="183" fontId="9" fillId="9" borderId="19" xfId="0" applyNumberFormat="1" applyFont="1" applyFill="1" applyBorder="1" applyAlignment="1" applyProtection="1">
      <alignment horizontal="left" vertical="center"/>
      <protection locked="0"/>
    </xf>
    <xf numFmtId="0" fontId="9" fillId="9" borderId="21" xfId="0" applyFont="1" applyFill="1" applyBorder="1" applyAlignment="1" applyProtection="1">
      <alignment horizontal="left" vertical="center"/>
      <protection locked="0"/>
    </xf>
    <xf numFmtId="9" fontId="7" fillId="9" borderId="12" xfId="0" applyNumberFormat="1" applyFont="1" applyFill="1" applyBorder="1" applyAlignment="1" applyProtection="1">
      <alignment horizontal="center" vertical="center" wrapText="1"/>
      <protection locked="0"/>
    </xf>
    <xf numFmtId="9" fontId="7" fillId="9" borderId="14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13" xfId="0" applyFont="1" applyFill="1" applyBorder="1" applyAlignment="1" applyProtection="1">
      <alignment horizontal="center" vertical="center" shrinkToFit="1"/>
      <protection locked="0"/>
    </xf>
    <xf numFmtId="9" fontId="7" fillId="9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25" xfId="0" applyFont="1" applyFill="1" applyBorder="1" applyAlignment="1" applyProtection="1">
      <alignment horizontal="center" vertical="center" shrinkToFit="1"/>
      <protection locked="0"/>
    </xf>
    <xf numFmtId="182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5" xfId="0" applyFont="1" applyFill="1" applyBorder="1" applyAlignment="1" applyProtection="1">
      <alignment horizontal="center" vertical="center" shrinkToFit="1"/>
      <protection locked="0"/>
    </xf>
    <xf numFmtId="0" fontId="9" fillId="9" borderId="26" xfId="0" applyFont="1" applyFill="1" applyBorder="1" applyAlignment="1" applyProtection="1">
      <alignment horizontal="left" vertical="center"/>
      <protection locked="0"/>
    </xf>
    <xf numFmtId="0" fontId="9" fillId="9" borderId="22" xfId="0" applyFont="1" applyFill="1" applyBorder="1" applyAlignment="1" applyProtection="1">
      <alignment horizontal="left" vertical="center"/>
      <protection locked="0"/>
    </xf>
    <xf numFmtId="0" fontId="7" fillId="9" borderId="25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5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77" xfId="0" applyFont="1" applyFill="1" applyBorder="1" applyAlignment="1" applyProtection="1">
      <alignment horizontal="center" vertical="center" shrinkToFit="1"/>
      <protection locked="0"/>
    </xf>
    <xf numFmtId="0" fontId="7" fillId="9" borderId="77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35" xfId="0" applyFont="1" applyFill="1" applyBorder="1" applyAlignment="1" applyProtection="1">
      <alignment horizontal="center" vertical="center" shrinkToFit="1"/>
      <protection locked="0"/>
    </xf>
    <xf numFmtId="0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44" xfId="0" applyFont="1" applyBorder="1" applyAlignment="1">
      <alignment horizontal="center" vertical="center" wrapText="1"/>
    </xf>
    <xf numFmtId="0" fontId="20" fillId="5" borderId="43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justify" vertical="center"/>
    </xf>
    <xf numFmtId="0" fontId="18" fillId="0" borderId="0" xfId="0" applyFont="1" applyProtection="1">
      <alignment vertical="center"/>
    </xf>
    <xf numFmtId="0" fontId="2" fillId="0" borderId="43" xfId="0" applyFont="1" applyBorder="1" applyAlignment="1" applyProtection="1">
      <alignment horizontal="center" vertical="center" shrinkToFit="1"/>
    </xf>
    <xf numFmtId="0" fontId="2" fillId="0" borderId="45" xfId="0" applyFont="1" applyBorder="1" applyAlignment="1" applyProtection="1">
      <alignment horizontal="center" vertical="center" shrinkToFit="1"/>
    </xf>
    <xf numFmtId="0" fontId="20" fillId="5" borderId="43" xfId="0" applyFont="1" applyFill="1" applyBorder="1" applyAlignment="1" applyProtection="1">
      <alignment horizontal="center" vertical="center" wrapText="1"/>
    </xf>
    <xf numFmtId="0" fontId="20" fillId="5" borderId="12" xfId="0" applyFont="1" applyFill="1" applyBorder="1" applyAlignment="1" applyProtection="1">
      <alignment horizontal="center" vertical="center" shrinkToFit="1"/>
    </xf>
    <xf numFmtId="177" fontId="20" fillId="5" borderId="12" xfId="0" applyNumberFormat="1" applyFont="1" applyFill="1" applyBorder="1" applyAlignment="1" applyProtection="1">
      <alignment horizontal="center" vertical="center" shrinkToFit="1"/>
    </xf>
    <xf numFmtId="0" fontId="18" fillId="0" borderId="0" xfId="0" applyFont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 shrinkToFit="1"/>
    </xf>
    <xf numFmtId="0" fontId="2" fillId="0" borderId="12" xfId="0" applyNumberFormat="1" applyFont="1" applyFill="1" applyBorder="1" applyAlignment="1" applyProtection="1">
      <alignment horizontal="center" vertical="center" shrinkToFit="1"/>
    </xf>
    <xf numFmtId="0" fontId="2" fillId="0" borderId="43" xfId="0" applyFont="1" applyBorder="1" applyAlignment="1" applyProtection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20" fillId="0" borderId="0" xfId="0" applyFont="1" applyFill="1" applyBorder="1" applyAlignment="1" applyProtection="1">
      <alignment vertical="center" wrapText="1"/>
    </xf>
    <xf numFmtId="0" fontId="31" fillId="0" borderId="0" xfId="0" applyFont="1" applyProtection="1">
      <alignment vertical="center"/>
    </xf>
    <xf numFmtId="0" fontId="2" fillId="0" borderId="0" xfId="0" applyFont="1" applyFill="1" applyBorder="1" applyAlignment="1" applyProtection="1">
      <alignment vertical="center" wrapText="1"/>
    </xf>
    <xf numFmtId="178" fontId="2" fillId="0" borderId="0" xfId="0" applyNumberFormat="1" applyFont="1" applyFill="1" applyBorder="1" applyAlignment="1" applyProtection="1">
      <alignment vertical="center" wrapText="1"/>
    </xf>
    <xf numFmtId="0" fontId="31" fillId="0" borderId="0" xfId="0" applyFont="1" applyFill="1" applyBorder="1" applyAlignment="1" applyProtection="1">
      <alignment vertical="center" wrapText="1"/>
    </xf>
    <xf numFmtId="0" fontId="18" fillId="0" borderId="0" xfId="0" applyFont="1" applyFill="1" applyBorder="1" applyProtection="1">
      <alignment vertical="center"/>
    </xf>
    <xf numFmtId="0" fontId="5" fillId="0" borderId="0" xfId="0" applyFont="1" applyBorder="1" applyProtection="1">
      <alignment vertical="center"/>
    </xf>
    <xf numFmtId="0" fontId="13" fillId="0" borderId="61" xfId="0" applyFont="1" applyBorder="1" applyAlignment="1" applyProtection="1">
      <alignment vertical="center"/>
    </xf>
    <xf numFmtId="0" fontId="13" fillId="0" borderId="62" xfId="0" applyFont="1" applyBorder="1" applyAlignment="1" applyProtection="1">
      <alignment vertical="center"/>
    </xf>
    <xf numFmtId="0" fontId="13" fillId="0" borderId="62" xfId="0" applyFont="1" applyBorder="1" applyAlignment="1" applyProtection="1">
      <alignment horizontal="center" vertical="center"/>
    </xf>
    <xf numFmtId="0" fontId="13" fillId="0" borderId="63" xfId="0" applyFont="1" applyBorder="1" applyAlignment="1" applyProtection="1">
      <alignment vertical="center"/>
    </xf>
    <xf numFmtId="0" fontId="5" fillId="0" borderId="0" xfId="0" applyFont="1" applyProtection="1">
      <alignment vertical="center"/>
    </xf>
    <xf numFmtId="0" fontId="13" fillId="0" borderId="0" xfId="0" applyFo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13" fillId="0" borderId="57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34" xfId="0" applyFont="1" applyBorder="1" applyAlignment="1" applyProtection="1">
      <alignment horizontal="left" vertical="center"/>
    </xf>
    <xf numFmtId="0" fontId="13" fillId="0" borderId="57" xfId="0" applyFont="1" applyBorder="1" applyAlignment="1" applyProtection="1">
      <alignment vertical="center"/>
    </xf>
    <xf numFmtId="0" fontId="13" fillId="0" borderId="0" xfId="0" applyFont="1" applyBorder="1" applyAlignment="1" applyProtection="1">
      <alignment vertical="center"/>
    </xf>
    <xf numFmtId="0" fontId="13" fillId="0" borderId="3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center" vertical="center"/>
    </xf>
    <xf numFmtId="0" fontId="9" fillId="0" borderId="58" xfId="0" applyFont="1" applyBorder="1" applyAlignment="1" applyProtection="1">
      <alignment vertical="center"/>
    </xf>
    <xf numFmtId="0" fontId="13" fillId="0" borderId="54" xfId="0" applyFont="1" applyBorder="1" applyAlignment="1" applyProtection="1">
      <alignment vertical="center"/>
    </xf>
    <xf numFmtId="0" fontId="5" fillId="0" borderId="54" xfId="0" applyFont="1" applyBorder="1" applyAlignment="1" applyProtection="1">
      <alignment horizontal="center" vertical="center"/>
    </xf>
    <xf numFmtId="0" fontId="13" fillId="0" borderId="64" xfId="0" applyFont="1" applyBorder="1" applyAlignment="1" applyProtection="1">
      <alignment vertical="center"/>
    </xf>
    <xf numFmtId="0" fontId="9" fillId="0" borderId="56" xfId="0" applyFont="1" applyBorder="1" applyAlignment="1" applyProtection="1">
      <alignment horizontal="left" vertical="center"/>
    </xf>
    <xf numFmtId="0" fontId="13" fillId="0" borderId="52" xfId="0" applyFont="1" applyBorder="1" applyAlignment="1" applyProtection="1">
      <alignment vertical="center"/>
    </xf>
    <xf numFmtId="0" fontId="13" fillId="0" borderId="52" xfId="0" applyFont="1" applyBorder="1" applyAlignment="1" applyProtection="1">
      <alignment horizontal="center" vertical="center"/>
    </xf>
    <xf numFmtId="0" fontId="13" fillId="0" borderId="65" xfId="0" applyFont="1" applyBorder="1" applyAlignment="1" applyProtection="1">
      <alignment vertical="center"/>
    </xf>
    <xf numFmtId="0" fontId="9" fillId="0" borderId="66" xfId="0" applyFont="1" applyBorder="1" applyAlignment="1" applyProtection="1">
      <alignment vertical="center"/>
    </xf>
    <xf numFmtId="0" fontId="13" fillId="0" borderId="67" xfId="0" applyFont="1" applyBorder="1" applyAlignment="1" applyProtection="1">
      <alignment vertical="center"/>
    </xf>
    <xf numFmtId="0" fontId="13" fillId="0" borderId="67" xfId="0" applyFont="1" applyBorder="1" applyAlignment="1" applyProtection="1">
      <alignment horizontal="center" vertical="center"/>
    </xf>
    <xf numFmtId="0" fontId="13" fillId="0" borderId="68" xfId="0" applyFont="1" applyBorder="1" applyAlignment="1" applyProtection="1">
      <alignment vertical="center"/>
    </xf>
    <xf numFmtId="0" fontId="4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0" fontId="9" fillId="0" borderId="0" xfId="0" applyFont="1" applyBorder="1" applyProtection="1">
      <alignment vertical="center"/>
    </xf>
    <xf numFmtId="0" fontId="5" fillId="0" borderId="0" xfId="0" applyFont="1" applyFill="1" applyProtection="1">
      <alignment vertical="center"/>
    </xf>
    <xf numFmtId="0" fontId="11" fillId="3" borderId="0" xfId="0" applyFont="1" applyFill="1" applyProtection="1">
      <alignment vertical="center"/>
    </xf>
    <xf numFmtId="0" fontId="5" fillId="3" borderId="0" xfId="0" applyFont="1" applyFill="1" applyAlignment="1" applyProtection="1">
      <alignment horizontal="left" vertical="center"/>
    </xf>
    <xf numFmtId="0" fontId="5" fillId="3" borderId="0" xfId="0" applyFont="1" applyFill="1" applyProtection="1">
      <alignment vertical="center"/>
    </xf>
    <xf numFmtId="0" fontId="5" fillId="3" borderId="0" xfId="0" applyFont="1" applyFill="1" applyAlignment="1" applyProtection="1">
      <alignment horizontal="center" vertical="center"/>
    </xf>
    <xf numFmtId="0" fontId="13" fillId="0" borderId="0" xfId="0" applyFont="1" applyFill="1" applyProtection="1">
      <alignment vertical="center"/>
    </xf>
    <xf numFmtId="0" fontId="5" fillId="0" borderId="0" xfId="0" applyFont="1" applyFill="1" applyAlignment="1" applyProtection="1">
      <alignment horizontal="center" vertical="center"/>
    </xf>
    <xf numFmtId="0" fontId="4" fillId="0" borderId="0" xfId="0" applyFont="1" applyBorder="1" applyProtection="1">
      <alignment vertical="center"/>
    </xf>
    <xf numFmtId="0" fontId="12" fillId="5" borderId="59" xfId="0" applyFont="1" applyFill="1" applyBorder="1" applyAlignment="1" applyProtection="1">
      <alignment horizontal="center" vertical="center"/>
    </xf>
    <xf numFmtId="0" fontId="13" fillId="0" borderId="0" xfId="0" quotePrefix="1" applyFont="1" applyProtection="1">
      <alignment vertical="center"/>
    </xf>
    <xf numFmtId="0" fontId="4" fillId="0" borderId="0" xfId="0" applyFo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12" fillId="0" borderId="0" xfId="0" applyFont="1" applyBorder="1" applyAlignment="1" applyProtection="1">
      <alignment horizontal="left" vertical="center"/>
    </xf>
    <xf numFmtId="0" fontId="13" fillId="0" borderId="0" xfId="0" applyFont="1" applyBorder="1" applyProtection="1">
      <alignment vertical="center"/>
    </xf>
    <xf numFmtId="0" fontId="13" fillId="0" borderId="0" xfId="0" quotePrefix="1" applyFont="1" applyBorder="1" applyAlignment="1" applyProtection="1">
      <alignment vertical="center"/>
    </xf>
    <xf numFmtId="0" fontId="4" fillId="0" borderId="0" xfId="0" quotePrefix="1" applyFont="1" applyBorder="1" applyAlignment="1" applyProtection="1">
      <alignment vertical="center"/>
    </xf>
    <xf numFmtId="0" fontId="4" fillId="0" borderId="0" xfId="0" quotePrefix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0" xfId="0" quotePrefix="1" applyFont="1" applyProtection="1">
      <alignment vertical="center"/>
    </xf>
    <xf numFmtId="0" fontId="5" fillId="0" borderId="0" xfId="0" applyFont="1" applyAlignment="1" applyProtection="1">
      <alignment horizontal="center" vertical="center" shrinkToFit="1"/>
    </xf>
    <xf numFmtId="0" fontId="5" fillId="3" borderId="0" xfId="0" applyFont="1" applyFill="1" applyAlignment="1" applyProtection="1">
      <alignment horizontal="center" vertical="center" shrinkToFit="1"/>
    </xf>
    <xf numFmtId="0" fontId="6" fillId="0" borderId="0" xfId="0" applyFont="1" applyProtection="1">
      <alignment vertical="center"/>
    </xf>
    <xf numFmtId="0" fontId="5" fillId="0" borderId="15" xfId="0" applyFont="1" applyFill="1" applyBorder="1" applyAlignment="1" applyProtection="1">
      <alignment horizontal="right" vertical="center"/>
    </xf>
    <xf numFmtId="0" fontId="5" fillId="0" borderId="12" xfId="0" applyFont="1" applyFill="1" applyBorder="1" applyAlignment="1" applyProtection="1">
      <alignment horizontal="right" vertical="center"/>
    </xf>
    <xf numFmtId="0" fontId="9" fillId="6" borderId="19" xfId="0" applyFont="1" applyFill="1" applyBorder="1" applyAlignment="1" applyProtection="1">
      <alignment horizontal="left" vertical="center" shrinkToFit="1"/>
    </xf>
    <xf numFmtId="0" fontId="7" fillId="0" borderId="0" xfId="0" applyFont="1" applyAlignment="1" applyProtection="1">
      <alignment horizontal="left" vertical="center"/>
    </xf>
    <xf numFmtId="0" fontId="5" fillId="0" borderId="25" xfId="0" applyFont="1" applyFill="1" applyBorder="1" applyAlignment="1" applyProtection="1">
      <alignment horizontal="right" vertical="center"/>
    </xf>
    <xf numFmtId="0" fontId="5" fillId="0" borderId="0" xfId="0" applyFont="1" applyFill="1" applyAlignment="1" applyProtection="1">
      <alignment vertical="center"/>
    </xf>
    <xf numFmtId="0" fontId="5" fillId="0" borderId="14" xfId="0" applyFont="1" applyFill="1" applyBorder="1" applyAlignment="1" applyProtection="1">
      <alignment horizontal="right" vertical="center"/>
    </xf>
    <xf numFmtId="0" fontId="5" fillId="0" borderId="13" xfId="0" applyFont="1" applyFill="1" applyBorder="1" applyAlignment="1" applyProtection="1">
      <alignment horizontal="right" vertical="center"/>
    </xf>
    <xf numFmtId="0" fontId="11" fillId="0" borderId="0" xfId="0" applyFont="1" applyFill="1" applyProtection="1">
      <alignment vertical="center"/>
    </xf>
    <xf numFmtId="0" fontId="11" fillId="3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center" vertical="center" shrinkToFit="1"/>
    </xf>
    <xf numFmtId="0" fontId="10" fillId="0" borderId="0" xfId="0" applyFont="1" applyFill="1" applyProtection="1">
      <alignment vertical="center"/>
    </xf>
    <xf numFmtId="0" fontId="11" fillId="0" borderId="0" xfId="0" applyFont="1" applyFill="1" applyAlignment="1" applyProtection="1">
      <alignment horizontal="center" vertical="center"/>
    </xf>
    <xf numFmtId="0" fontId="9" fillId="5" borderId="16" xfId="0" applyFont="1" applyFill="1" applyBorder="1" applyAlignment="1" applyProtection="1">
      <alignment horizontal="center" vertical="center"/>
    </xf>
    <xf numFmtId="0" fontId="9" fillId="5" borderId="15" xfId="0" applyFont="1" applyFill="1" applyBorder="1" applyAlignment="1" applyProtection="1">
      <alignment horizontal="center" vertical="center"/>
    </xf>
    <xf numFmtId="0" fontId="9" fillId="5" borderId="17" xfId="0" applyFont="1" applyFill="1" applyBorder="1" applyAlignment="1" applyProtection="1">
      <alignment horizontal="center" vertical="center"/>
    </xf>
    <xf numFmtId="0" fontId="10" fillId="0" borderId="12" xfId="0" applyFont="1" applyBorder="1" applyAlignment="1" applyProtection="1">
      <alignment horizontal="center" vertical="center" shrinkToFit="1"/>
    </xf>
    <xf numFmtId="177" fontId="13" fillId="5" borderId="16" xfId="0" applyNumberFormat="1" applyFont="1" applyFill="1" applyBorder="1" applyAlignment="1" applyProtection="1">
      <alignment horizontal="center" vertical="center" shrinkToFit="1"/>
    </xf>
    <xf numFmtId="177" fontId="13" fillId="5" borderId="15" xfId="0" applyNumberFormat="1" applyFont="1" applyFill="1" applyBorder="1" applyAlignment="1" applyProtection="1">
      <alignment horizontal="center" vertical="center" shrinkToFit="1"/>
    </xf>
    <xf numFmtId="177" fontId="13" fillId="5" borderId="17" xfId="0" applyNumberFormat="1" applyFont="1" applyFill="1" applyBorder="1" applyAlignment="1" applyProtection="1">
      <alignment horizontal="center" vertical="center" shrinkToFit="1"/>
    </xf>
    <xf numFmtId="0" fontId="9" fillId="0" borderId="18" xfId="0" applyFont="1" applyBorder="1" applyAlignment="1" applyProtection="1">
      <alignment horizontal="center" vertical="center"/>
    </xf>
    <xf numFmtId="0" fontId="5" fillId="0" borderId="12" xfId="0" applyFont="1" applyBorder="1" applyAlignment="1" applyProtection="1">
      <alignment horizontal="center" vertical="center"/>
    </xf>
    <xf numFmtId="178" fontId="5" fillId="0" borderId="12" xfId="0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 shrinkToFit="1"/>
    </xf>
    <xf numFmtId="177" fontId="13" fillId="0" borderId="18" xfId="0" applyNumberFormat="1" applyFont="1" applyFill="1" applyBorder="1" applyAlignment="1" applyProtection="1">
      <alignment horizontal="center" vertical="center"/>
    </xf>
    <xf numFmtId="177" fontId="13" fillId="0" borderId="12" xfId="0" applyNumberFormat="1" applyFont="1" applyFill="1" applyBorder="1" applyAlignment="1" applyProtection="1">
      <alignment horizontal="center" vertical="center"/>
    </xf>
    <xf numFmtId="177" fontId="13" fillId="0" borderId="12" xfId="0" quotePrefix="1" applyNumberFormat="1" applyFont="1" applyFill="1" applyBorder="1" applyAlignment="1" applyProtection="1">
      <alignment horizontal="center" vertical="center"/>
    </xf>
    <xf numFmtId="177" fontId="13" fillId="0" borderId="19" xfId="0" quotePrefix="1" applyNumberFormat="1" applyFont="1" applyFill="1" applyBorder="1" applyAlignment="1" applyProtection="1">
      <alignment horizontal="center" vertical="center"/>
    </xf>
    <xf numFmtId="177" fontId="13" fillId="0" borderId="19" xfId="0" applyNumberFormat="1" applyFont="1" applyFill="1" applyBorder="1" applyAlignment="1" applyProtection="1">
      <alignment horizontal="center" vertical="center"/>
    </xf>
    <xf numFmtId="177" fontId="13" fillId="0" borderId="18" xfId="0" quotePrefix="1" applyNumberFormat="1" applyFont="1" applyFill="1" applyBorder="1" applyAlignment="1" applyProtection="1">
      <alignment horizontal="center" vertical="center"/>
    </xf>
    <xf numFmtId="0" fontId="9" fillId="0" borderId="20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178" fontId="5" fillId="0" borderId="14" xfId="0" applyNumberFormat="1" applyFont="1" applyBorder="1" applyAlignment="1" applyProtection="1">
      <alignment horizontal="center" vertical="center"/>
    </xf>
    <xf numFmtId="177" fontId="13" fillId="0" borderId="20" xfId="0" quotePrefix="1" applyNumberFormat="1" applyFont="1" applyFill="1" applyBorder="1" applyAlignment="1" applyProtection="1">
      <alignment horizontal="center" vertical="center"/>
    </xf>
    <xf numFmtId="177" fontId="13" fillId="0" borderId="14" xfId="0" quotePrefix="1" applyNumberFormat="1" applyFont="1" applyFill="1" applyBorder="1" applyAlignment="1" applyProtection="1">
      <alignment horizontal="center" vertical="center"/>
    </xf>
    <xf numFmtId="177" fontId="13" fillId="0" borderId="14" xfId="0" applyNumberFormat="1" applyFont="1" applyFill="1" applyBorder="1" applyAlignment="1" applyProtection="1">
      <alignment horizontal="center" vertical="center"/>
    </xf>
    <xf numFmtId="177" fontId="13" fillId="0" borderId="21" xfId="0" applyNumberFormat="1" applyFont="1" applyFill="1" applyBorder="1" applyAlignment="1" applyProtection="1">
      <alignment horizontal="center" vertical="center"/>
    </xf>
    <xf numFmtId="0" fontId="10" fillId="3" borderId="0" xfId="0" applyFont="1" applyFill="1" applyAlignment="1" applyProtection="1">
      <alignment horizontal="left" vertical="center"/>
    </xf>
    <xf numFmtId="0" fontId="10" fillId="3" borderId="0" xfId="0" applyFont="1" applyFill="1" applyProtection="1">
      <alignment vertical="center"/>
    </xf>
    <xf numFmtId="0" fontId="11" fillId="3" borderId="0" xfId="0" applyFont="1" applyFill="1" applyAlignment="1" applyProtection="1">
      <alignment horizontal="center" vertical="center" shrinkToFit="1"/>
    </xf>
    <xf numFmtId="0" fontId="9" fillId="5" borderId="15" xfId="0" applyFont="1" applyFill="1" applyBorder="1" applyAlignment="1" applyProtection="1">
      <alignment horizontal="center" vertical="center" wrapText="1"/>
    </xf>
    <xf numFmtId="0" fontId="5" fillId="5" borderId="62" xfId="0" applyFont="1" applyFill="1" applyBorder="1" applyAlignment="1" applyProtection="1">
      <alignment horizontal="center" vertical="center"/>
    </xf>
    <xf numFmtId="0" fontId="9" fillId="5" borderId="15" xfId="0" applyFont="1" applyFill="1" applyBorder="1" applyAlignment="1" applyProtection="1">
      <alignment horizontal="center" vertical="center" shrinkToFit="1"/>
    </xf>
    <xf numFmtId="0" fontId="9" fillId="5" borderId="17" xfId="0" applyFont="1" applyFill="1" applyBorder="1" applyAlignment="1" applyProtection="1">
      <alignment horizontal="center" vertical="center" wrapText="1"/>
    </xf>
    <xf numFmtId="176" fontId="13" fillId="5" borderId="16" xfId="0" applyNumberFormat="1" applyFont="1" applyFill="1" applyBorder="1" applyAlignment="1" applyProtection="1">
      <alignment horizontal="center" vertical="center"/>
    </xf>
    <xf numFmtId="0" fontId="13" fillId="5" borderId="15" xfId="0" applyFont="1" applyFill="1" applyBorder="1" applyAlignment="1" applyProtection="1">
      <alignment horizontal="center" vertical="center"/>
    </xf>
    <xf numFmtId="0" fontId="14" fillId="5" borderId="15" xfId="0" applyFont="1" applyFill="1" applyBorder="1" applyAlignment="1" applyProtection="1">
      <alignment horizontal="center" vertical="center" wrapText="1"/>
    </xf>
    <xf numFmtId="0" fontId="13" fillId="5" borderId="25" xfId="0" applyFont="1" applyFill="1" applyBorder="1" applyAlignment="1" applyProtection="1">
      <alignment horizontal="center" vertical="center" wrapText="1"/>
    </xf>
    <xf numFmtId="9" fontId="13" fillId="5" borderId="25" xfId="0" applyNumberFormat="1" applyFont="1" applyFill="1" applyBorder="1" applyAlignment="1" applyProtection="1">
      <alignment horizontal="center" vertical="center" wrapText="1"/>
    </xf>
    <xf numFmtId="176" fontId="13" fillId="5" borderId="12" xfId="0" applyNumberFormat="1" applyFont="1" applyFill="1" applyBorder="1" applyAlignment="1" applyProtection="1">
      <alignment horizontal="center" vertical="center" wrapText="1"/>
    </xf>
    <xf numFmtId="180" fontId="13" fillId="5" borderId="12" xfId="0" applyNumberFormat="1" applyFont="1" applyFill="1" applyBorder="1" applyAlignment="1" applyProtection="1">
      <alignment horizontal="center" vertical="center" shrinkToFit="1"/>
    </xf>
    <xf numFmtId="180" fontId="13" fillId="5" borderId="19" xfId="0" applyNumberFormat="1" applyFont="1" applyFill="1" applyBorder="1" applyAlignment="1" applyProtection="1">
      <alignment horizontal="center" vertical="center" wrapText="1"/>
    </xf>
    <xf numFmtId="176" fontId="13" fillId="5" borderId="18" xfId="0" applyNumberFormat="1" applyFont="1" applyFill="1" applyBorder="1" applyAlignment="1" applyProtection="1">
      <alignment horizontal="center" vertical="center"/>
    </xf>
    <xf numFmtId="0" fontId="13" fillId="5" borderId="12" xfId="0" applyFont="1" applyFill="1" applyBorder="1" applyAlignment="1" applyProtection="1">
      <alignment horizontal="center" vertical="center"/>
    </xf>
    <xf numFmtId="176" fontId="14" fillId="5" borderId="12" xfId="0" applyNumberFormat="1" applyFont="1" applyFill="1" applyBorder="1" applyAlignment="1" applyProtection="1">
      <alignment horizontal="center" vertical="center"/>
    </xf>
    <xf numFmtId="176" fontId="13" fillId="5" borderId="19" xfId="0" applyNumberFormat="1" applyFont="1" applyFill="1" applyBorder="1" applyAlignment="1" applyProtection="1">
      <alignment horizontal="center" vertical="center"/>
    </xf>
    <xf numFmtId="176" fontId="7" fillId="0" borderId="12" xfId="0" applyNumberFormat="1" applyFont="1" applyBorder="1" applyAlignment="1" applyProtection="1">
      <alignment horizontal="center" vertical="center" wrapText="1"/>
    </xf>
    <xf numFmtId="180" fontId="7" fillId="0" borderId="12" xfId="0" applyNumberFormat="1" applyFont="1" applyBorder="1" applyAlignment="1" applyProtection="1">
      <alignment horizontal="center" vertical="center" shrinkToFit="1"/>
    </xf>
    <xf numFmtId="180" fontId="7" fillId="0" borderId="19" xfId="0" applyNumberFormat="1" applyFont="1" applyBorder="1" applyAlignment="1" applyProtection="1">
      <alignment horizontal="center" vertical="center" wrapText="1"/>
    </xf>
    <xf numFmtId="176" fontId="13" fillId="0" borderId="24" xfId="0" applyNumberFormat="1" applyFont="1" applyBorder="1" applyAlignment="1" applyProtection="1">
      <alignment horizontal="center" vertical="center"/>
    </xf>
    <xf numFmtId="0" fontId="13" fillId="0" borderId="25" xfId="0" applyFont="1" applyBorder="1" applyAlignment="1" applyProtection="1">
      <alignment horizontal="center" vertical="center"/>
    </xf>
    <xf numFmtId="176" fontId="14" fillId="0" borderId="25" xfId="0" applyNumberFormat="1" applyFont="1" applyBorder="1" applyAlignment="1" applyProtection="1">
      <alignment horizontal="center" vertical="center"/>
    </xf>
    <xf numFmtId="176" fontId="13" fillId="0" borderId="26" xfId="0" applyNumberFormat="1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center" vertical="center"/>
    </xf>
    <xf numFmtId="0" fontId="14" fillId="5" borderId="17" xfId="0" applyFont="1" applyFill="1" applyBorder="1" applyAlignment="1" applyProtection="1">
      <alignment horizontal="center" vertical="center"/>
    </xf>
    <xf numFmtId="0" fontId="13" fillId="0" borderId="12" xfId="0" applyFont="1" applyBorder="1" applyAlignment="1" applyProtection="1">
      <alignment horizontal="center" vertical="center"/>
    </xf>
    <xf numFmtId="180" fontId="13" fillId="0" borderId="12" xfId="0" applyNumberFormat="1" applyFont="1" applyBorder="1" applyAlignment="1" applyProtection="1">
      <alignment horizontal="right" vertical="center"/>
    </xf>
    <xf numFmtId="180" fontId="13" fillId="0" borderId="19" xfId="0" applyNumberFormat="1" applyFont="1" applyBorder="1" applyAlignment="1" applyProtection="1">
      <alignment horizontal="center" vertical="center"/>
    </xf>
    <xf numFmtId="0" fontId="13" fillId="0" borderId="34" xfId="0" applyFont="1" applyBorder="1" applyProtection="1">
      <alignment vertical="center"/>
    </xf>
    <xf numFmtId="176" fontId="7" fillId="0" borderId="14" xfId="0" applyNumberFormat="1" applyFont="1" applyBorder="1" applyAlignment="1" applyProtection="1">
      <alignment horizontal="center" vertical="center" wrapText="1"/>
    </xf>
    <xf numFmtId="180" fontId="7" fillId="0" borderId="14" xfId="0" applyNumberFormat="1" applyFont="1" applyBorder="1" applyAlignment="1" applyProtection="1">
      <alignment horizontal="center" vertical="center" shrinkToFit="1"/>
    </xf>
    <xf numFmtId="180" fontId="7" fillId="0" borderId="21" xfId="0" applyNumberFormat="1" applyFont="1" applyBorder="1" applyAlignment="1" applyProtection="1">
      <alignment horizontal="center" vertical="center" wrapText="1"/>
    </xf>
    <xf numFmtId="0" fontId="13" fillId="0" borderId="14" xfId="0" applyFont="1" applyBorder="1" applyAlignment="1" applyProtection="1">
      <alignment horizontal="center" vertical="center"/>
    </xf>
    <xf numFmtId="180" fontId="13" fillId="0" borderId="14" xfId="0" applyNumberFormat="1" applyFont="1" applyBorder="1" applyAlignment="1" applyProtection="1">
      <alignment horizontal="right" vertical="center"/>
    </xf>
    <xf numFmtId="180" fontId="13" fillId="0" borderId="21" xfId="0" applyNumberFormat="1" applyFont="1" applyBorder="1" applyAlignment="1" applyProtection="1">
      <alignment horizontal="center" vertical="center"/>
    </xf>
    <xf numFmtId="176" fontId="7" fillId="0" borderId="13" xfId="0" applyNumberFormat="1" applyFont="1" applyBorder="1" applyAlignment="1" applyProtection="1">
      <alignment horizontal="center" vertical="center" wrapText="1"/>
    </xf>
    <xf numFmtId="180" fontId="7" fillId="0" borderId="13" xfId="0" applyNumberFormat="1" applyFont="1" applyBorder="1" applyAlignment="1" applyProtection="1">
      <alignment horizontal="center" vertical="center" shrinkToFit="1"/>
    </xf>
    <xf numFmtId="180" fontId="7" fillId="0" borderId="22" xfId="0" applyNumberFormat="1" applyFont="1" applyBorder="1" applyAlignment="1" applyProtection="1">
      <alignment horizontal="center" vertical="center" wrapText="1"/>
    </xf>
    <xf numFmtId="176" fontId="13" fillId="0" borderId="37" xfId="0" applyNumberFormat="1" applyFont="1" applyBorder="1" applyAlignment="1" applyProtection="1">
      <alignment horizontal="center" vertical="center"/>
    </xf>
    <xf numFmtId="0" fontId="13" fillId="0" borderId="38" xfId="0" applyFont="1" applyBorder="1" applyAlignment="1" applyProtection="1">
      <alignment horizontal="center" vertical="center"/>
    </xf>
    <xf numFmtId="176" fontId="14" fillId="0" borderId="38" xfId="0" applyNumberFormat="1" applyFont="1" applyBorder="1" applyAlignment="1" applyProtection="1">
      <alignment horizontal="center" vertical="center"/>
    </xf>
    <xf numFmtId="176" fontId="13" fillId="0" borderId="39" xfId="0" applyNumberFormat="1" applyFont="1" applyBorder="1" applyAlignment="1" applyProtection="1">
      <alignment horizontal="center" vertical="center"/>
    </xf>
    <xf numFmtId="0" fontId="13" fillId="0" borderId="13" xfId="0" applyFont="1" applyBorder="1" applyAlignment="1" applyProtection="1">
      <alignment horizontal="center" vertical="center"/>
    </xf>
    <xf numFmtId="180" fontId="13" fillId="0" borderId="13" xfId="0" applyNumberFormat="1" applyFont="1" applyBorder="1" applyAlignment="1" applyProtection="1">
      <alignment horizontal="right" vertical="center"/>
    </xf>
    <xf numFmtId="180" fontId="13" fillId="0" borderId="22" xfId="0" applyNumberFormat="1" applyFont="1" applyBorder="1" applyAlignment="1" applyProtection="1">
      <alignment horizontal="center" vertical="center"/>
    </xf>
    <xf numFmtId="176" fontId="13" fillId="0" borderId="20" xfId="0" applyNumberFormat="1" applyFont="1" applyBorder="1" applyAlignment="1" applyProtection="1">
      <alignment horizontal="center" vertical="center"/>
    </xf>
    <xf numFmtId="176" fontId="14" fillId="0" borderId="14" xfId="0" applyNumberFormat="1" applyFont="1" applyBorder="1" applyAlignment="1" applyProtection="1">
      <alignment horizontal="center" vertical="center"/>
    </xf>
    <xf numFmtId="176" fontId="13" fillId="0" borderId="21" xfId="0" applyNumberFormat="1" applyFont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vertical="center" wrapText="1"/>
    </xf>
    <xf numFmtId="176" fontId="7" fillId="0" borderId="0" xfId="0" applyNumberFormat="1" applyFont="1" applyFill="1" applyBorder="1" applyAlignment="1" applyProtection="1">
      <alignment horizontal="center" vertical="center" wrapText="1"/>
    </xf>
    <xf numFmtId="178" fontId="7" fillId="0" borderId="0" xfId="0" applyNumberFormat="1" applyFont="1" applyFill="1" applyBorder="1" applyAlignment="1" applyProtection="1">
      <alignment horizontal="center" vertical="center" wrapText="1"/>
    </xf>
    <xf numFmtId="178" fontId="7" fillId="0" borderId="0" xfId="0" applyNumberFormat="1" applyFont="1" applyFill="1" applyBorder="1" applyAlignment="1" applyProtection="1">
      <alignment horizontal="center" vertical="center" shrinkToFit="1"/>
    </xf>
    <xf numFmtId="176" fontId="13" fillId="0" borderId="0" xfId="0" applyNumberFormat="1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1" fillId="3" borderId="0" xfId="0" applyFont="1" applyFill="1" applyBorder="1" applyAlignment="1" applyProtection="1">
      <alignment horizontal="left" vertical="center" wrapText="1"/>
    </xf>
    <xf numFmtId="0" fontId="11" fillId="3" borderId="0" xfId="0" applyFont="1" applyFill="1" applyBorder="1" applyAlignment="1" applyProtection="1">
      <alignment horizontal="center" vertical="center" wrapText="1"/>
    </xf>
    <xf numFmtId="0" fontId="11" fillId="3" borderId="0" xfId="0" applyFont="1" applyFill="1" applyBorder="1" applyAlignment="1" applyProtection="1">
      <alignment vertical="center" wrapText="1"/>
    </xf>
    <xf numFmtId="176" fontId="11" fillId="3" borderId="0" xfId="0" applyNumberFormat="1" applyFont="1" applyFill="1" applyBorder="1" applyAlignment="1" applyProtection="1">
      <alignment horizontal="center" vertical="center" wrapText="1"/>
    </xf>
    <xf numFmtId="178" fontId="11" fillId="0" borderId="0" xfId="0" applyNumberFormat="1" applyFont="1" applyFill="1" applyBorder="1" applyAlignment="1" applyProtection="1">
      <alignment horizontal="center" vertical="center" wrapText="1"/>
    </xf>
    <xf numFmtId="178" fontId="11" fillId="0" borderId="0" xfId="0" applyNumberFormat="1" applyFont="1" applyFill="1" applyBorder="1" applyAlignment="1" applyProtection="1">
      <alignment horizontal="center" vertical="center" shrinkToFit="1"/>
    </xf>
    <xf numFmtId="176" fontId="11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Alignment="1" applyProtection="1">
      <alignment horizontal="left" vertical="center"/>
    </xf>
    <xf numFmtId="0" fontId="13" fillId="5" borderId="18" xfId="0" applyFont="1" applyFill="1" applyBorder="1" applyAlignment="1" applyProtection="1">
      <alignment horizontal="center" vertical="center"/>
    </xf>
    <xf numFmtId="178" fontId="13" fillId="5" borderId="19" xfId="0" applyNumberFormat="1" applyFont="1" applyFill="1" applyBorder="1" applyAlignment="1" applyProtection="1">
      <alignment horizontal="center" vertical="center"/>
    </xf>
    <xf numFmtId="0" fontId="13" fillId="0" borderId="0" xfId="0" applyFont="1" applyAlignment="1" applyProtection="1">
      <alignment horizontal="left" vertical="center"/>
    </xf>
    <xf numFmtId="0" fontId="13" fillId="0" borderId="0" xfId="0" quotePrefix="1" applyFont="1" applyFill="1" applyAlignment="1" applyProtection="1">
      <alignment horizontal="left" vertical="center"/>
    </xf>
    <xf numFmtId="178" fontId="5" fillId="0" borderId="21" xfId="0" applyNumberFormat="1" applyFont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0" fontId="13" fillId="5" borderId="17" xfId="0" applyFont="1" applyFill="1" applyBorder="1" applyAlignment="1" applyProtection="1">
      <alignment horizontal="center" vertical="center" shrinkToFit="1"/>
    </xf>
    <xf numFmtId="0" fontId="13" fillId="0" borderId="0" xfId="0" applyFont="1" applyFill="1" applyBorder="1" applyAlignment="1" applyProtection="1">
      <alignment vertical="center"/>
    </xf>
    <xf numFmtId="0" fontId="13" fillId="0" borderId="0" xfId="0" applyFont="1" applyAlignment="1" applyProtection="1">
      <alignment horizontal="center" vertical="center"/>
    </xf>
    <xf numFmtId="0" fontId="13" fillId="0" borderId="19" xfId="0" applyFont="1" applyBorder="1" applyAlignment="1" applyProtection="1">
      <alignment horizontal="center" vertical="center"/>
    </xf>
    <xf numFmtId="0" fontId="5" fillId="0" borderId="12" xfId="0" quotePrefix="1" applyFont="1" applyFill="1" applyBorder="1" applyAlignment="1" applyProtection="1">
      <alignment horizontal="center" vertical="center"/>
    </xf>
    <xf numFmtId="0" fontId="5" fillId="0" borderId="14" xfId="0" quotePrefix="1" applyFont="1" applyFill="1" applyBorder="1" applyAlignment="1" applyProtection="1">
      <alignment horizontal="center" vertical="center"/>
    </xf>
    <xf numFmtId="0" fontId="13" fillId="0" borderId="21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right" vertical="center"/>
    </xf>
    <xf numFmtId="178" fontId="13" fillId="0" borderId="0" xfId="0" applyNumberFormat="1" applyFont="1" applyAlignment="1" applyProtection="1">
      <alignment horizontal="center" vertical="center"/>
    </xf>
    <xf numFmtId="0" fontId="4" fillId="0" borderId="0" xfId="0" quotePrefix="1" applyFont="1" applyFill="1" applyAlignment="1" applyProtection="1">
      <alignment horizontal="center" vertical="center" shrinkToFit="1"/>
    </xf>
    <xf numFmtId="0" fontId="9" fillId="5" borderId="12" xfId="0" applyFont="1" applyFill="1" applyBorder="1" applyAlignment="1" applyProtection="1">
      <alignment horizontal="center" vertical="center" wrapText="1"/>
    </xf>
    <xf numFmtId="0" fontId="9" fillId="5" borderId="12" xfId="0" applyFont="1" applyFill="1" applyBorder="1" applyAlignment="1" applyProtection="1">
      <alignment horizontal="center" vertical="center" shrinkToFit="1"/>
    </xf>
    <xf numFmtId="0" fontId="13" fillId="5" borderId="19" xfId="0" applyFont="1" applyFill="1" applyBorder="1" applyAlignment="1" applyProtection="1">
      <alignment horizontal="center" vertical="center"/>
    </xf>
    <xf numFmtId="177" fontId="9" fillId="5" borderId="12" xfId="0" applyNumberFormat="1" applyFont="1" applyFill="1" applyBorder="1" applyAlignment="1" applyProtection="1">
      <alignment horizontal="center" vertical="center" wrapText="1"/>
    </xf>
    <xf numFmtId="177" fontId="9" fillId="5" borderId="12" xfId="0" applyNumberFormat="1" applyFont="1" applyFill="1" applyBorder="1" applyAlignment="1" applyProtection="1">
      <alignment horizontal="center" vertical="center" shrinkToFit="1"/>
    </xf>
    <xf numFmtId="9" fontId="13" fillId="0" borderId="20" xfId="0" applyNumberFormat="1" applyFont="1" applyBorder="1" applyAlignment="1" applyProtection="1">
      <alignment horizontal="center" vertical="center"/>
    </xf>
    <xf numFmtId="9" fontId="13" fillId="0" borderId="14" xfId="0" applyNumberFormat="1" applyFont="1" applyBorder="1" applyAlignment="1" applyProtection="1">
      <alignment horizontal="center" vertical="center"/>
    </xf>
    <xf numFmtId="9" fontId="13" fillId="0" borderId="21" xfId="0" applyNumberFormat="1" applyFont="1" applyBorder="1" applyAlignment="1" applyProtection="1">
      <alignment horizontal="center" vertical="center"/>
    </xf>
    <xf numFmtId="0" fontId="13" fillId="5" borderId="18" xfId="0" applyFont="1" applyFill="1" applyBorder="1" applyAlignment="1" applyProtection="1">
      <alignment horizontal="center" vertical="center" shrinkToFit="1"/>
    </xf>
    <xf numFmtId="0" fontId="13" fillId="5" borderId="12" xfId="0" applyFont="1" applyFill="1" applyBorder="1" applyAlignment="1" applyProtection="1">
      <alignment horizontal="center" vertical="center" shrinkToFit="1"/>
    </xf>
    <xf numFmtId="0" fontId="13" fillId="5" borderId="12" xfId="0" applyFont="1" applyFill="1" applyBorder="1" applyAlignment="1" applyProtection="1">
      <alignment horizontal="center" vertical="center" wrapText="1"/>
    </xf>
    <xf numFmtId="178" fontId="13" fillId="5" borderId="19" xfId="0" applyNumberFormat="1" applyFont="1" applyFill="1" applyBorder="1" applyAlignment="1" applyProtection="1">
      <alignment horizontal="center" vertical="center" wrapText="1"/>
    </xf>
    <xf numFmtId="178" fontId="7" fillId="0" borderId="19" xfId="0" applyNumberFormat="1" applyFont="1" applyBorder="1" applyAlignment="1" applyProtection="1">
      <alignment horizontal="center" vertical="center" wrapText="1"/>
    </xf>
    <xf numFmtId="177" fontId="13" fillId="0" borderId="0" xfId="0" applyNumberFormat="1" applyFont="1" applyBorder="1" applyAlignment="1" applyProtection="1">
      <alignment horizontal="center" vertical="center"/>
    </xf>
    <xf numFmtId="178" fontId="7" fillId="0" borderId="21" xfId="0" applyNumberFormat="1" applyFont="1" applyBorder="1" applyAlignment="1" applyProtection="1">
      <alignment horizontal="center" vertical="center" wrapText="1"/>
    </xf>
    <xf numFmtId="178" fontId="13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Protection="1">
      <alignment vertical="center"/>
    </xf>
    <xf numFmtId="0" fontId="13" fillId="5" borderId="18" xfId="0" applyFont="1" applyFill="1" applyBorder="1" applyAlignment="1" applyProtection="1">
      <alignment horizontal="center" vertical="center" wrapText="1"/>
    </xf>
    <xf numFmtId="179" fontId="13" fillId="5" borderId="19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Protection="1">
      <alignment vertical="center"/>
    </xf>
    <xf numFmtId="0" fontId="13" fillId="5" borderId="29" xfId="0" applyFont="1" applyFill="1" applyBorder="1" applyAlignment="1" applyProtection="1">
      <alignment horizontal="center" vertical="center" shrinkToFit="1"/>
    </xf>
    <xf numFmtId="179" fontId="7" fillId="0" borderId="19" xfId="0" applyNumberFormat="1" applyFont="1" applyBorder="1" applyAlignment="1" applyProtection="1">
      <alignment horizontal="center" vertical="center" wrapText="1"/>
    </xf>
    <xf numFmtId="0" fontId="13" fillId="0" borderId="18" xfId="0" applyFont="1" applyFill="1" applyBorder="1" applyAlignment="1" applyProtection="1">
      <alignment horizontal="center" vertical="center"/>
    </xf>
    <xf numFmtId="178" fontId="13" fillId="0" borderId="27" xfId="0" applyNumberFormat="1" applyFont="1" applyFill="1" applyBorder="1" applyAlignment="1" applyProtection="1">
      <alignment horizontal="center" vertical="center"/>
    </xf>
    <xf numFmtId="178" fontId="13" fillId="0" borderId="19" xfId="0" applyNumberFormat="1" applyFont="1" applyFill="1" applyBorder="1" applyAlignment="1" applyProtection="1">
      <alignment horizontal="center" vertical="center"/>
    </xf>
    <xf numFmtId="179" fontId="7" fillId="0" borderId="21" xfId="0" applyNumberFormat="1" applyFont="1" applyBorder="1" applyAlignment="1" applyProtection="1">
      <alignment horizontal="center" vertical="center" wrapText="1"/>
    </xf>
    <xf numFmtId="0" fontId="13" fillId="0" borderId="20" xfId="0" applyFont="1" applyFill="1" applyBorder="1" applyAlignment="1" applyProtection="1">
      <alignment horizontal="center" vertical="center"/>
    </xf>
    <xf numFmtId="178" fontId="13" fillId="0" borderId="28" xfId="0" applyNumberFormat="1" applyFont="1" applyFill="1" applyBorder="1" applyAlignment="1" applyProtection="1">
      <alignment horizontal="center" vertical="center"/>
    </xf>
    <xf numFmtId="178" fontId="13" fillId="0" borderId="21" xfId="0" applyNumberFormat="1" applyFont="1" applyFill="1" applyBorder="1" applyAlignment="1" applyProtection="1">
      <alignment horizontal="center" vertical="center"/>
    </xf>
    <xf numFmtId="0" fontId="11" fillId="4" borderId="0" xfId="0" applyFont="1" applyFill="1" applyProtection="1">
      <alignment vertical="center"/>
    </xf>
    <xf numFmtId="0" fontId="9" fillId="0" borderId="0" xfId="0" applyFont="1" applyFill="1" applyBorder="1" applyAlignment="1" applyProtection="1">
      <alignment vertical="center" wrapText="1"/>
    </xf>
    <xf numFmtId="0" fontId="4" fillId="5" borderId="12" xfId="0" applyFont="1" applyFill="1" applyBorder="1" applyAlignment="1" applyProtection="1">
      <alignment horizontal="center" vertical="center" wrapText="1"/>
    </xf>
    <xf numFmtId="182" fontId="13" fillId="5" borderId="12" xfId="0" applyNumberFormat="1" applyFont="1" applyFill="1" applyBorder="1" applyAlignment="1" applyProtection="1">
      <alignment horizontal="center" vertical="center" shrinkToFit="1"/>
    </xf>
    <xf numFmtId="0" fontId="13" fillId="5" borderId="20" xfId="0" applyFont="1" applyFill="1" applyBorder="1" applyAlignment="1" applyProtection="1">
      <alignment horizontal="center" vertical="center"/>
    </xf>
    <xf numFmtId="0" fontId="13" fillId="5" borderId="14" xfId="0" applyFont="1" applyFill="1" applyBorder="1" applyAlignment="1" applyProtection="1">
      <alignment horizontal="center" vertical="center"/>
    </xf>
    <xf numFmtId="0" fontId="13" fillId="5" borderId="21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vertical="center" wrapText="1"/>
    </xf>
    <xf numFmtId="0" fontId="7" fillId="6" borderId="12" xfId="0" applyFont="1" applyFill="1" applyBorder="1" applyAlignment="1" applyProtection="1">
      <alignment horizontal="center" vertical="center" wrapText="1"/>
    </xf>
    <xf numFmtId="0" fontId="7" fillId="6" borderId="12" xfId="0" applyFont="1" applyFill="1" applyBorder="1" applyAlignment="1" applyProtection="1">
      <alignment horizontal="center" vertical="center" shrinkToFit="1"/>
    </xf>
    <xf numFmtId="0" fontId="13" fillId="0" borderId="22" xfId="0" applyFont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left" vertical="center"/>
    </xf>
    <xf numFmtId="0" fontId="7" fillId="6" borderId="14" xfId="0" applyFont="1" applyFill="1" applyBorder="1" applyAlignment="1" applyProtection="1">
      <alignment horizontal="center" vertical="center" wrapText="1"/>
    </xf>
    <xf numFmtId="0" fontId="7" fillId="6" borderId="14" xfId="0" applyFont="1" applyFill="1" applyBorder="1" applyAlignment="1" applyProtection="1">
      <alignment horizontal="center" vertical="center" shrinkToFit="1"/>
    </xf>
    <xf numFmtId="0" fontId="13" fillId="0" borderId="20" xfId="0" applyFont="1" applyBorder="1" applyAlignment="1" applyProtection="1">
      <alignment horizontal="center" vertical="center"/>
    </xf>
    <xf numFmtId="0" fontId="7" fillId="6" borderId="13" xfId="0" applyFont="1" applyFill="1" applyBorder="1" applyAlignment="1" applyProtection="1">
      <alignment horizontal="center" vertical="center" wrapText="1"/>
    </xf>
    <xf numFmtId="0" fontId="7" fillId="6" borderId="13" xfId="0" applyFont="1" applyFill="1" applyBorder="1" applyAlignment="1" applyProtection="1">
      <alignment horizontal="center" vertical="center" shrinkToFit="1"/>
    </xf>
    <xf numFmtId="178" fontId="7" fillId="0" borderId="0" xfId="0" applyNumberFormat="1" applyFont="1" applyFill="1" applyBorder="1" applyAlignment="1" applyProtection="1">
      <alignment vertical="center" wrapText="1"/>
    </xf>
    <xf numFmtId="0" fontId="7" fillId="6" borderId="15" xfId="0" applyFont="1" applyFill="1" applyBorder="1" applyAlignment="1" applyProtection="1">
      <alignment horizontal="center" vertical="center" wrapText="1"/>
    </xf>
    <xf numFmtId="0" fontId="7" fillId="6" borderId="15" xfId="0" applyFont="1" applyFill="1" applyBorder="1" applyAlignment="1" applyProtection="1">
      <alignment horizontal="center" vertical="center" shrinkToFit="1"/>
    </xf>
    <xf numFmtId="180" fontId="13" fillId="0" borderId="0" xfId="0" applyNumberFormat="1" applyFont="1" applyFill="1" applyAlignment="1" applyProtection="1">
      <alignment horizontal="center" vertical="center"/>
    </xf>
    <xf numFmtId="0" fontId="13" fillId="0" borderId="30" xfId="0" applyFont="1" applyBorder="1" applyAlignment="1" applyProtection="1">
      <alignment horizontal="center" vertical="center"/>
    </xf>
    <xf numFmtId="0" fontId="13" fillId="0" borderId="32" xfId="0" applyFont="1" applyBorder="1" applyAlignment="1" applyProtection="1">
      <alignment horizontal="center" vertical="center"/>
    </xf>
    <xf numFmtId="0" fontId="13" fillId="0" borderId="33" xfId="0" applyFont="1" applyBorder="1" applyAlignment="1" applyProtection="1">
      <alignment horizontal="center" vertical="center"/>
    </xf>
    <xf numFmtId="0" fontId="13" fillId="0" borderId="24" xfId="0" applyFont="1" applyBorder="1" applyAlignment="1" applyProtection="1">
      <alignment horizontal="center" vertical="center"/>
    </xf>
    <xf numFmtId="0" fontId="13" fillId="0" borderId="26" xfId="0" applyFont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 shrinkToFit="1"/>
    </xf>
    <xf numFmtId="0" fontId="5" fillId="0" borderId="0" xfId="0" applyFont="1" applyFill="1" applyBorder="1" applyAlignment="1" applyProtection="1">
      <alignment horizontal="center" vertical="center"/>
    </xf>
    <xf numFmtId="0" fontId="6" fillId="0" borderId="0" xfId="0" applyFont="1" applyBorder="1" applyProtection="1">
      <alignment vertical="center"/>
    </xf>
    <xf numFmtId="0" fontId="10" fillId="0" borderId="0" xfId="0" applyFont="1" applyFill="1" applyBorder="1" applyAlignment="1" applyProtection="1">
      <alignment vertical="center"/>
    </xf>
    <xf numFmtId="0" fontId="11" fillId="3" borderId="0" xfId="0" applyFont="1" applyFill="1" applyBorder="1" applyProtection="1">
      <alignment vertical="center"/>
    </xf>
    <xf numFmtId="0" fontId="10" fillId="3" borderId="0" xfId="0" applyFont="1" applyFill="1" applyBorder="1" applyProtection="1">
      <alignment vertical="center"/>
    </xf>
    <xf numFmtId="0" fontId="10" fillId="3" borderId="0" xfId="0" applyFont="1" applyFill="1" applyBorder="1" applyAlignment="1" applyProtection="1">
      <alignment horizontal="center" vertical="center" wrapText="1"/>
    </xf>
    <xf numFmtId="178" fontId="10" fillId="3" borderId="0" xfId="0" applyNumberFormat="1" applyFont="1" applyFill="1" applyBorder="1" applyAlignment="1" applyProtection="1">
      <alignment horizontal="left" vertical="center"/>
    </xf>
    <xf numFmtId="178" fontId="10" fillId="3" borderId="0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shrinkToFit="1"/>
    </xf>
    <xf numFmtId="184" fontId="9" fillId="5" borderId="15" xfId="0" applyNumberFormat="1" applyFont="1" applyFill="1" applyBorder="1" applyAlignment="1" applyProtection="1">
      <alignment horizontal="center" vertical="center" wrapText="1"/>
    </xf>
    <xf numFmtId="184" fontId="5" fillId="5" borderId="17" xfId="0" applyNumberFormat="1" applyFont="1" applyFill="1" applyBorder="1" applyAlignment="1" applyProtection="1">
      <alignment horizontal="center" vertical="center"/>
    </xf>
    <xf numFmtId="184" fontId="13" fillId="5" borderId="12" xfId="0" applyNumberFormat="1" applyFont="1" applyFill="1" applyBorder="1" applyAlignment="1" applyProtection="1">
      <alignment horizontal="center" vertical="center" wrapText="1"/>
    </xf>
    <xf numFmtId="184" fontId="13" fillId="5" borderId="19" xfId="0" applyNumberFormat="1" applyFont="1" applyFill="1" applyBorder="1" applyAlignment="1" applyProtection="1">
      <alignment horizontal="center" vertical="center"/>
    </xf>
    <xf numFmtId="184" fontId="7" fillId="0" borderId="14" xfId="0" applyNumberFormat="1" applyFont="1" applyFill="1" applyBorder="1" applyAlignment="1" applyProtection="1">
      <alignment horizontal="center" vertical="center" wrapText="1"/>
    </xf>
    <xf numFmtId="184" fontId="7" fillId="0" borderId="0" xfId="0" applyNumberFormat="1" applyFont="1" applyFill="1" applyBorder="1" applyAlignment="1" applyProtection="1">
      <alignment horizontal="center" vertical="center" wrapText="1"/>
    </xf>
    <xf numFmtId="0" fontId="13" fillId="5" borderId="12" xfId="0" applyNumberFormat="1" applyFont="1" applyFill="1" applyBorder="1" applyAlignment="1" applyProtection="1">
      <alignment horizontal="center" vertical="center" shrinkToFit="1"/>
    </xf>
    <xf numFmtId="0" fontId="5" fillId="0" borderId="59" xfId="0" applyFont="1" applyBorder="1" applyAlignment="1" applyProtection="1">
      <alignment horizontal="center" vertical="center"/>
    </xf>
    <xf numFmtId="0" fontId="5" fillId="0" borderId="31" xfId="0" applyFont="1" applyBorder="1" applyAlignment="1" applyProtection="1">
      <alignment horizontal="center" vertical="center"/>
    </xf>
    <xf numFmtId="0" fontId="11" fillId="4" borderId="0" xfId="0" applyFont="1" applyFill="1" applyAlignment="1" applyProtection="1">
      <alignment horizontal="center" vertical="center"/>
    </xf>
    <xf numFmtId="0" fontId="13" fillId="4" borderId="0" xfId="0" applyFont="1" applyFill="1" applyAlignment="1" applyProtection="1">
      <alignment horizontal="center" vertical="center"/>
    </xf>
    <xf numFmtId="0" fontId="11" fillId="4" borderId="0" xfId="0" applyFont="1" applyFill="1" applyAlignment="1" applyProtection="1">
      <alignment horizontal="center" vertical="center" shrinkToFit="1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176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178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Protection="1">
      <alignment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Fill="1" applyProtection="1">
      <alignment vertical="center"/>
      <protection locked="0"/>
    </xf>
    <xf numFmtId="0" fontId="13" fillId="0" borderId="0" xfId="0" applyFont="1" applyBorder="1" applyAlignment="1" applyProtection="1">
      <alignment horizontal="right" vertical="center"/>
      <protection locked="0"/>
    </xf>
    <xf numFmtId="0" fontId="5" fillId="0" borderId="0" xfId="0" applyFont="1" applyFill="1" applyBorder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7" fillId="0" borderId="0" xfId="0" applyFont="1" applyFill="1" applyBorder="1" applyAlignment="1" applyProtection="1">
      <alignment horizontal="center" vertical="center" shrinkToFit="1"/>
      <protection locked="0"/>
    </xf>
    <xf numFmtId="0" fontId="20" fillId="2" borderId="43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32" fillId="2" borderId="44" xfId="0" applyFont="1" applyFill="1" applyBorder="1" applyAlignment="1">
      <alignment horizontal="center" vertical="center" wrapText="1"/>
    </xf>
    <xf numFmtId="0" fontId="32" fillId="0" borderId="44" xfId="0" applyFont="1" applyBorder="1" applyAlignment="1">
      <alignment horizontal="center" vertical="center" wrapText="1"/>
    </xf>
    <xf numFmtId="0" fontId="20" fillId="2" borderId="44" xfId="0" applyFont="1" applyFill="1" applyBorder="1" applyAlignment="1">
      <alignment horizontal="center" vertical="center" wrapText="1"/>
    </xf>
    <xf numFmtId="181" fontId="20" fillId="0" borderId="43" xfId="0" applyNumberFormat="1" applyFont="1" applyBorder="1" applyAlignment="1">
      <alignment horizontal="center" vertical="center" wrapText="1"/>
    </xf>
    <xf numFmtId="2" fontId="20" fillId="0" borderId="44" xfId="0" applyNumberFormat="1" applyFont="1" applyBorder="1" applyAlignment="1">
      <alignment horizontal="center" vertical="center" wrapText="1"/>
    </xf>
    <xf numFmtId="0" fontId="20" fillId="2" borderId="49" xfId="0" applyFont="1" applyFill="1" applyBorder="1" applyAlignment="1">
      <alignment horizontal="center" vertical="center" wrapText="1"/>
    </xf>
    <xf numFmtId="179" fontId="20" fillId="0" borderId="12" xfId="0" applyNumberFormat="1" applyFont="1" applyFill="1" applyBorder="1" applyAlignment="1">
      <alignment horizontal="center" vertical="center" wrapText="1"/>
    </xf>
    <xf numFmtId="185" fontId="20" fillId="0" borderId="25" xfId="0" applyNumberFormat="1" applyFont="1" applyFill="1" applyBorder="1" applyAlignment="1">
      <alignment horizontal="center" vertical="center" wrapText="1"/>
    </xf>
    <xf numFmtId="178" fontId="32" fillId="0" borderId="82" xfId="0" applyNumberFormat="1" applyFont="1" applyBorder="1" applyAlignment="1">
      <alignment horizontal="center" vertical="center" wrapText="1"/>
    </xf>
    <xf numFmtId="0" fontId="20" fillId="5" borderId="44" xfId="0" applyFont="1" applyFill="1" applyBorder="1" applyAlignment="1">
      <alignment horizontal="center" vertical="center" wrapText="1"/>
    </xf>
    <xf numFmtId="0" fontId="20" fillId="0" borderId="44" xfId="0" applyFont="1" applyFill="1" applyBorder="1" applyAlignment="1">
      <alignment horizontal="center" vertical="center" wrapText="1"/>
    </xf>
    <xf numFmtId="0" fontId="20" fillId="0" borderId="45" xfId="0" applyFont="1" applyFill="1" applyBorder="1" applyAlignment="1">
      <alignment horizontal="center" vertical="center" wrapText="1"/>
    </xf>
    <xf numFmtId="0" fontId="20" fillId="0" borderId="47" xfId="0" applyFont="1" applyFill="1" applyBorder="1" applyAlignment="1">
      <alignment horizontal="center" vertical="center" wrapText="1"/>
    </xf>
    <xf numFmtId="183" fontId="2" fillId="0" borderId="46" xfId="0" applyNumberFormat="1" applyFont="1" applyBorder="1" applyAlignment="1">
      <alignment horizontal="center" vertical="center" shrinkToFit="1"/>
    </xf>
    <xf numFmtId="178" fontId="35" fillId="10" borderId="85" xfId="0" applyNumberFormat="1" applyFont="1" applyFill="1" applyBorder="1" applyAlignment="1">
      <alignment horizontal="center" vertical="center" wrapText="1"/>
    </xf>
    <xf numFmtId="179" fontId="2" fillId="2" borderId="44" xfId="0" applyNumberFormat="1" applyFont="1" applyFill="1" applyBorder="1" applyAlignment="1" applyProtection="1">
      <alignment horizontal="center" vertical="center" wrapText="1"/>
    </xf>
    <xf numFmtId="0" fontId="5" fillId="0" borderId="12" xfId="0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left" vertical="center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81" fontId="21" fillId="0" borderId="1" xfId="0" applyNumberFormat="1" applyFont="1" applyBorder="1" applyAlignment="1" applyProtection="1">
      <alignment horizontal="center" vertical="center"/>
    </xf>
    <xf numFmtId="14" fontId="21" fillId="0" borderId="1" xfId="0" applyNumberFormat="1" applyFont="1" applyBorder="1" applyAlignment="1" applyProtection="1">
      <alignment horizontal="center" vertical="center"/>
    </xf>
    <xf numFmtId="0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179" fontId="13" fillId="5" borderId="19" xfId="0" applyNumberFormat="1" applyFont="1" applyFill="1" applyBorder="1" applyAlignment="1" applyProtection="1">
      <alignment horizontal="center" vertical="center"/>
    </xf>
    <xf numFmtId="179" fontId="5" fillId="0" borderId="60" xfId="0" applyNumberFormat="1" applyFont="1" applyBorder="1" applyAlignment="1" applyProtection="1">
      <alignment horizontal="center" vertical="center"/>
    </xf>
    <xf numFmtId="179" fontId="13" fillId="5" borderId="12" xfId="0" applyNumberFormat="1" applyFont="1" applyFill="1" applyBorder="1" applyAlignment="1" applyProtection="1">
      <alignment horizontal="center" vertical="center" wrapText="1"/>
    </xf>
    <xf numFmtId="179" fontId="7" fillId="0" borderId="12" xfId="0" applyNumberFormat="1" applyFont="1" applyFill="1" applyBorder="1" applyAlignment="1" applyProtection="1">
      <alignment horizontal="center" vertical="center" wrapText="1"/>
    </xf>
    <xf numFmtId="179" fontId="7" fillId="0" borderId="25" xfId="0" applyNumberFormat="1" applyFont="1" applyFill="1" applyBorder="1" applyAlignment="1" applyProtection="1">
      <alignment horizontal="center" vertical="center" wrapText="1"/>
    </xf>
    <xf numFmtId="179" fontId="7" fillId="0" borderId="77" xfId="0" applyNumberFormat="1" applyFont="1" applyFill="1" applyBorder="1" applyAlignment="1" applyProtection="1">
      <alignment horizontal="center" vertical="center" wrapText="1"/>
    </xf>
    <xf numFmtId="179" fontId="7" fillId="0" borderId="15" xfId="0" applyNumberFormat="1" applyFont="1" applyFill="1" applyBorder="1" applyAlignment="1" applyProtection="1">
      <alignment horizontal="center" vertical="center" wrapText="1"/>
    </xf>
    <xf numFmtId="179" fontId="7" fillId="0" borderId="14" xfId="0" applyNumberFormat="1" applyFont="1" applyFill="1" applyBorder="1" applyAlignment="1" applyProtection="1">
      <alignment horizontal="center" vertical="center" wrapText="1"/>
    </xf>
    <xf numFmtId="179" fontId="7" fillId="9" borderId="35" xfId="0" applyNumberFormat="1" applyFont="1" applyFill="1" applyBorder="1" applyAlignment="1" applyProtection="1">
      <alignment horizontal="center" vertical="center" wrapText="1"/>
      <protection locked="0"/>
    </xf>
    <xf numFmtId="180" fontId="2" fillId="0" borderId="12" xfId="0" applyNumberFormat="1" applyFont="1" applyFill="1" applyBorder="1" applyAlignment="1" applyProtection="1">
      <alignment horizontal="center" vertical="center" shrinkToFit="1"/>
    </xf>
    <xf numFmtId="14" fontId="7" fillId="9" borderId="12" xfId="0" applyNumberFormat="1" applyFont="1" applyFill="1" applyBorder="1" applyAlignment="1" applyProtection="1">
      <alignment horizontal="center" vertical="center" wrapText="1"/>
      <protection locked="0"/>
    </xf>
    <xf numFmtId="14" fontId="7" fillId="9" borderId="13" xfId="0" applyNumberFormat="1" applyFont="1" applyFill="1" applyBorder="1" applyAlignment="1" applyProtection="1">
      <alignment horizontal="center" vertical="center" wrapText="1"/>
      <protection locked="0"/>
    </xf>
    <xf numFmtId="14" fontId="7" fillId="9" borderId="14" xfId="0" applyNumberFormat="1" applyFont="1" applyFill="1" applyBorder="1" applyAlignment="1" applyProtection="1">
      <alignment horizontal="center" vertical="center" wrapText="1"/>
      <protection locked="0"/>
    </xf>
    <xf numFmtId="14" fontId="7" fillId="9" borderId="15" xfId="0" applyNumberFormat="1" applyFont="1" applyFill="1" applyBorder="1" applyAlignment="1" applyProtection="1">
      <alignment horizontal="center" vertical="center" wrapText="1"/>
      <protection locked="0"/>
    </xf>
    <xf numFmtId="0" fontId="5" fillId="9" borderId="20" xfId="0" applyFont="1" applyFill="1" applyBorder="1" applyAlignment="1" applyProtection="1">
      <alignment horizontal="center" vertical="center"/>
      <protection locked="0"/>
    </xf>
    <xf numFmtId="14" fontId="20" fillId="0" borderId="12" xfId="0" applyNumberFormat="1" applyFont="1" applyBorder="1" applyAlignment="1">
      <alignment horizontal="center" vertical="center" shrinkToFit="1"/>
    </xf>
    <xf numFmtId="0" fontId="5" fillId="0" borderId="0" xfId="0" applyFont="1" applyAlignment="1" applyProtection="1">
      <alignment horizontal="center" vertical="center"/>
    </xf>
    <xf numFmtId="0" fontId="6" fillId="9" borderId="18" xfId="0" applyFont="1" applyFill="1" applyBorder="1" applyAlignment="1" applyProtection="1">
      <alignment horizontal="center" vertical="center" shrinkToFit="1"/>
      <protection locked="0"/>
    </xf>
    <xf numFmtId="0" fontId="6" fillId="9" borderId="20" xfId="0" applyFont="1" applyFill="1" applyBorder="1" applyAlignment="1" applyProtection="1">
      <alignment horizontal="center" vertical="center" shrinkToFit="1"/>
      <protection locked="0"/>
    </xf>
    <xf numFmtId="0" fontId="9" fillId="0" borderId="59" xfId="0" applyFont="1" applyBorder="1" applyAlignment="1" applyProtection="1">
      <alignment horizontal="center" vertical="center" wrapText="1"/>
    </xf>
    <xf numFmtId="14" fontId="7" fillId="9" borderId="77" xfId="0" applyNumberFormat="1" applyFont="1" applyFill="1" applyBorder="1" applyAlignment="1" applyProtection="1">
      <alignment horizontal="center" vertical="center" wrapText="1"/>
      <protection locked="0"/>
    </xf>
    <xf numFmtId="178" fontId="7" fillId="6" borderId="60" xfId="0" applyNumberFormat="1" applyFont="1" applyFill="1" applyBorder="1" applyAlignment="1" applyProtection="1">
      <alignment horizontal="center" vertical="center" wrapText="1"/>
    </xf>
    <xf numFmtId="0" fontId="9" fillId="0" borderId="18" xfId="0" applyNumberFormat="1" applyFont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 shrinkToFit="1"/>
    </xf>
    <xf numFmtId="0" fontId="5" fillId="0" borderId="0" xfId="0" applyFont="1" applyAlignment="1" applyProtection="1">
      <alignment vertical="center"/>
    </xf>
    <xf numFmtId="14" fontId="13" fillId="5" borderId="12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vertical="center"/>
    </xf>
    <xf numFmtId="0" fontId="21" fillId="0" borderId="0" xfId="0" applyFont="1" applyAlignment="1">
      <alignment horizontal="center" vertical="center"/>
    </xf>
    <xf numFmtId="0" fontId="36" fillId="8" borderId="0" xfId="0" applyFont="1" applyFill="1" applyAlignment="1">
      <alignment horizontal="center" vertical="center"/>
    </xf>
    <xf numFmtId="14" fontId="36" fillId="0" borderId="0" xfId="0" applyNumberFormat="1" applyFont="1" applyAlignment="1">
      <alignment horizontal="center" vertical="center"/>
    </xf>
    <xf numFmtId="14" fontId="12" fillId="6" borderId="60" xfId="0" applyNumberFormat="1" applyFont="1" applyFill="1" applyBorder="1" applyAlignment="1" applyProtection="1">
      <alignment horizontal="left" vertical="center"/>
    </xf>
    <xf numFmtId="14" fontId="37" fillId="0" borderId="0" xfId="0" applyNumberFormat="1" applyFont="1" applyAlignment="1">
      <alignment horizontal="center" vertical="center"/>
    </xf>
    <xf numFmtId="0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25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79" fontId="7" fillId="6" borderId="15" xfId="0" applyNumberFormat="1" applyFont="1" applyFill="1" applyBorder="1" applyAlignment="1" applyProtection="1">
      <alignment horizontal="center" vertical="center" wrapText="1"/>
    </xf>
    <xf numFmtId="179" fontId="7" fillId="6" borderId="12" xfId="0" applyNumberFormat="1" applyFont="1" applyFill="1" applyBorder="1" applyAlignment="1" applyProtection="1">
      <alignment horizontal="center" vertical="center" wrapText="1"/>
    </xf>
    <xf numFmtId="179" fontId="7" fillId="6" borderId="14" xfId="0" applyNumberFormat="1" applyFont="1" applyFill="1" applyBorder="1" applyAlignment="1" applyProtection="1">
      <alignment horizontal="center" vertical="center" wrapText="1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9" fillId="0" borderId="23" xfId="0" applyFont="1" applyFill="1" applyBorder="1" applyAlignment="1" applyProtection="1">
      <alignment horizontal="center" vertical="center" wrapText="1"/>
    </xf>
    <xf numFmtId="0" fontId="13" fillId="5" borderId="12" xfId="0" applyFont="1" applyFill="1" applyBorder="1" applyAlignment="1" applyProtection="1">
      <alignment horizontal="center" vertical="center" wrapText="1"/>
    </xf>
    <xf numFmtId="178" fontId="7" fillId="6" borderId="22" xfId="0" applyNumberFormat="1" applyFont="1" applyFill="1" applyBorder="1" applyAlignment="1" applyProtection="1">
      <alignment horizontal="center" vertical="center" wrapText="1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9" fillId="5" borderId="12" xfId="0" applyFont="1" applyFill="1" applyBorder="1" applyAlignment="1" applyProtection="1">
      <alignment horizontal="center" vertical="center" shrinkToFit="1"/>
    </xf>
    <xf numFmtId="0" fontId="7" fillId="6" borderId="77" xfId="0" applyFont="1" applyFill="1" applyBorder="1" applyAlignment="1" applyProtection="1">
      <alignment horizontal="center" vertical="center" wrapText="1"/>
    </xf>
    <xf numFmtId="0" fontId="7" fillId="6" borderId="77" xfId="0" applyFont="1" applyFill="1" applyBorder="1" applyAlignment="1" applyProtection="1">
      <alignment horizontal="center" vertical="center" shrinkToFit="1"/>
    </xf>
    <xf numFmtId="182" fontId="7" fillId="6" borderId="77" xfId="0" applyNumberFormat="1" applyFont="1" applyFill="1" applyBorder="1" applyAlignment="1" applyProtection="1">
      <alignment horizontal="center" vertical="center" shrinkToFit="1"/>
    </xf>
    <xf numFmtId="0" fontId="7" fillId="6" borderId="35" xfId="0" applyFont="1" applyFill="1" applyBorder="1" applyAlignment="1" applyProtection="1">
      <alignment horizontal="center" vertical="center" wrapText="1"/>
    </xf>
    <xf numFmtId="0" fontId="7" fillId="6" borderId="35" xfId="0" applyFont="1" applyFill="1" applyBorder="1" applyAlignment="1" applyProtection="1">
      <alignment horizontal="center" vertical="center" shrinkToFit="1"/>
    </xf>
    <xf numFmtId="182" fontId="7" fillId="0" borderId="35" xfId="0" applyNumberFormat="1" applyFont="1" applyFill="1" applyBorder="1" applyAlignment="1" applyProtection="1">
      <alignment horizontal="center" vertical="center" shrinkToFit="1"/>
    </xf>
    <xf numFmtId="178" fontId="13" fillId="0" borderId="0" xfId="0" applyNumberFormat="1" applyFont="1" applyProtection="1">
      <alignment vertical="center"/>
    </xf>
    <xf numFmtId="178" fontId="38" fillId="0" borderId="0" xfId="0" applyNumberFormat="1" applyFont="1" applyFill="1" applyBorder="1" applyAlignment="1" applyProtection="1">
      <alignment vertical="center" wrapText="1"/>
    </xf>
    <xf numFmtId="179" fontId="38" fillId="0" borderId="0" xfId="0" applyNumberFormat="1" applyFont="1" applyProtection="1">
      <alignment vertical="center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4" xfId="0" applyNumberFormat="1" applyFont="1" applyFill="1" applyBorder="1" applyAlignment="1" applyProtection="1">
      <alignment horizontal="center" vertical="center" shrinkToFit="1"/>
      <protection locked="0"/>
    </xf>
    <xf numFmtId="179" fontId="7" fillId="0" borderId="13" xfId="0" applyNumberFormat="1" applyFont="1" applyFill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0" fontId="1" fillId="10" borderId="95" xfId="0" applyFont="1" applyFill="1" applyBorder="1" applyAlignment="1" applyProtection="1">
      <alignment horizontal="left" vertical="center" wrapText="1"/>
    </xf>
    <xf numFmtId="0" fontId="1" fillId="10" borderId="54" xfId="0" applyFont="1" applyFill="1" applyBorder="1" applyAlignment="1" applyProtection="1">
      <alignment horizontal="left" vertical="center" wrapText="1"/>
    </xf>
    <xf numFmtId="0" fontId="1" fillId="10" borderId="101" xfId="0" applyFont="1" applyFill="1" applyBorder="1" applyAlignment="1" applyProtection="1">
      <alignment horizontal="left" vertical="center" wrapText="1"/>
    </xf>
    <xf numFmtId="0" fontId="7" fillId="9" borderId="104" xfId="0" applyFont="1" applyFill="1" applyBorder="1" applyAlignment="1" applyProtection="1">
      <alignment horizontal="center" vertical="center" shrinkToFit="1"/>
      <protection locked="0"/>
    </xf>
    <xf numFmtId="0" fontId="7" fillId="6" borderId="104" xfId="0" applyFont="1" applyFill="1" applyBorder="1" applyAlignment="1" applyProtection="1">
      <alignment horizontal="center" vertical="center" wrapText="1"/>
    </xf>
    <xf numFmtId="0" fontId="7" fillId="6" borderId="104" xfId="0" applyFont="1" applyFill="1" applyBorder="1" applyAlignment="1" applyProtection="1">
      <alignment horizontal="center" vertical="center" shrinkToFit="1"/>
    </xf>
    <xf numFmtId="182" fontId="7" fillId="9" borderId="104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104" xfId="0" applyFont="1" applyBorder="1" applyAlignment="1" applyProtection="1">
      <alignment horizontal="center" vertical="center"/>
    </xf>
    <xf numFmtId="0" fontId="13" fillId="0" borderId="103" xfId="0" applyFont="1" applyBorder="1" applyAlignment="1" applyProtection="1">
      <alignment horizontal="center" vertical="center"/>
    </xf>
    <xf numFmtId="0" fontId="13" fillId="0" borderId="23" xfId="0" applyFont="1" applyBorder="1" applyAlignment="1" applyProtection="1">
      <alignment horizontal="center" vertical="center"/>
    </xf>
    <xf numFmtId="0" fontId="13" fillId="0" borderId="105" xfId="0" applyFont="1" applyBorder="1" applyAlignment="1" applyProtection="1">
      <alignment horizontal="center" vertical="center"/>
    </xf>
    <xf numFmtId="0" fontId="13" fillId="0" borderId="106" xfId="0" applyFont="1" applyBorder="1" applyAlignment="1" applyProtection="1">
      <alignment horizontal="center" vertical="center"/>
    </xf>
    <xf numFmtId="0" fontId="13" fillId="0" borderId="107" xfId="0" applyFont="1" applyBorder="1" applyAlignment="1" applyProtection="1">
      <alignment horizontal="center" vertical="center"/>
    </xf>
    <xf numFmtId="0" fontId="13" fillId="0" borderId="108" xfId="0" applyFont="1" applyBorder="1" applyAlignment="1" applyProtection="1">
      <alignment horizontal="center" vertical="center"/>
    </xf>
    <xf numFmtId="0" fontId="13" fillId="0" borderId="109" xfId="0" applyFont="1" applyBorder="1" applyAlignment="1" applyProtection="1">
      <alignment horizontal="center" vertical="center"/>
    </xf>
    <xf numFmtId="0" fontId="13" fillId="0" borderId="110" xfId="0" applyFont="1" applyBorder="1" applyAlignment="1" applyProtection="1">
      <alignment horizontal="center" vertical="center"/>
    </xf>
    <xf numFmtId="0" fontId="13" fillId="0" borderId="111" xfId="0" applyFont="1" applyBorder="1" applyAlignment="1" applyProtection="1">
      <alignment horizontal="center" vertical="center"/>
    </xf>
    <xf numFmtId="0" fontId="13" fillId="0" borderId="112" xfId="0" applyFont="1" applyBorder="1" applyAlignment="1" applyProtection="1">
      <alignment horizontal="center" vertical="center"/>
    </xf>
    <xf numFmtId="0" fontId="13" fillId="0" borderId="113" xfId="0" applyFont="1" applyBorder="1" applyAlignment="1" applyProtection="1">
      <alignment horizontal="center" vertical="center"/>
    </xf>
    <xf numFmtId="0" fontId="13" fillId="0" borderId="114" xfId="0" applyFont="1" applyBorder="1" applyAlignment="1" applyProtection="1">
      <alignment horizontal="center" vertical="center"/>
    </xf>
    <xf numFmtId="0" fontId="13" fillId="0" borderId="115" xfId="0" applyFont="1" applyBorder="1" applyAlignment="1" applyProtection="1">
      <alignment horizontal="center" vertical="center"/>
    </xf>
    <xf numFmtId="0" fontId="7" fillId="9" borderId="116" xfId="0" applyFont="1" applyFill="1" applyBorder="1" applyAlignment="1" applyProtection="1">
      <alignment horizontal="center" vertical="center" shrinkToFit="1"/>
      <protection locked="0"/>
    </xf>
    <xf numFmtId="0" fontId="7" fillId="6" borderId="116" xfId="0" applyFont="1" applyFill="1" applyBorder="1" applyAlignment="1" applyProtection="1">
      <alignment horizontal="center" vertical="center" wrapText="1"/>
    </xf>
    <xf numFmtId="0" fontId="7" fillId="6" borderId="116" xfId="0" applyFont="1" applyFill="1" applyBorder="1" applyAlignment="1" applyProtection="1">
      <alignment horizontal="center" vertical="center" shrinkToFit="1"/>
    </xf>
    <xf numFmtId="182" fontId="7" fillId="0" borderId="116" xfId="0" applyNumberFormat="1" applyFont="1" applyFill="1" applyBorder="1" applyAlignment="1" applyProtection="1">
      <alignment horizontal="center" vertical="center" shrinkToFit="1"/>
    </xf>
    <xf numFmtId="0" fontId="13" fillId="0" borderId="117" xfId="0" applyFont="1" applyBorder="1" applyAlignment="1" applyProtection="1">
      <alignment horizontal="center" vertical="center"/>
    </xf>
    <xf numFmtId="0" fontId="13" fillId="0" borderId="118" xfId="0" applyFont="1" applyBorder="1" applyAlignment="1" applyProtection="1">
      <alignment horizontal="center" vertical="center"/>
    </xf>
    <xf numFmtId="0" fontId="13" fillId="0" borderId="119" xfId="0" applyFont="1" applyBorder="1" applyAlignment="1" applyProtection="1">
      <alignment horizontal="center" vertical="center"/>
    </xf>
    <xf numFmtId="0" fontId="13" fillId="0" borderId="120" xfId="0" applyFont="1" applyBorder="1" applyAlignment="1" applyProtection="1">
      <alignment horizontal="center" vertical="center"/>
    </xf>
    <xf numFmtId="0" fontId="13" fillId="0" borderId="121" xfId="0" applyFont="1" applyBorder="1" applyAlignment="1" applyProtection="1">
      <alignment horizontal="center" vertical="center"/>
    </xf>
    <xf numFmtId="0" fontId="13" fillId="0" borderId="122" xfId="0" applyFont="1" applyBorder="1" applyAlignment="1" applyProtection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23" xfId="0" applyFont="1" applyFill="1" applyBorder="1" applyAlignment="1">
      <alignment horizontal="center" vertical="center" wrapText="1"/>
    </xf>
    <xf numFmtId="0" fontId="7" fillId="9" borderId="32" xfId="0" applyFont="1" applyFill="1" applyBorder="1" applyAlignment="1" applyProtection="1">
      <alignment horizontal="center" vertical="center" shrinkToFit="1"/>
      <protection locked="0"/>
    </xf>
    <xf numFmtId="182" fontId="7" fillId="6" borderId="32" xfId="0" applyNumberFormat="1" applyFont="1" applyFill="1" applyBorder="1" applyAlignment="1" applyProtection="1">
      <alignment horizontal="center" vertical="center" shrinkToFit="1"/>
    </xf>
    <xf numFmtId="182" fontId="7" fillId="6" borderId="15" xfId="0" applyNumberFormat="1" applyFont="1" applyFill="1" applyBorder="1" applyAlignment="1" applyProtection="1">
      <alignment horizontal="center" vertical="center" shrinkToFit="1"/>
    </xf>
    <xf numFmtId="14" fontId="13" fillId="5" borderId="12" xfId="0" applyNumberFormat="1" applyFont="1" applyFill="1" applyBorder="1" applyAlignment="1" applyProtection="1">
      <alignment horizontal="center" vertical="center"/>
    </xf>
    <xf numFmtId="0" fontId="9" fillId="5" borderId="78" xfId="0" applyFont="1" applyFill="1" applyBorder="1" applyAlignment="1" applyProtection="1">
      <alignment horizontal="center" vertical="center"/>
    </xf>
    <xf numFmtId="178" fontId="13" fillId="5" borderId="124" xfId="0" applyNumberFormat="1" applyFont="1" applyFill="1" applyBorder="1" applyAlignment="1" applyProtection="1">
      <alignment horizontal="center" vertical="center"/>
    </xf>
    <xf numFmtId="178" fontId="5" fillId="0" borderId="124" xfId="0" applyNumberFormat="1" applyFont="1" applyBorder="1" applyAlignment="1" applyProtection="1">
      <alignment horizontal="center" vertical="center"/>
    </xf>
    <xf numFmtId="178" fontId="13" fillId="5" borderId="12" xfId="0" applyNumberFormat="1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horizontal="center" vertical="center"/>
    </xf>
    <xf numFmtId="0" fontId="5" fillId="9" borderId="12" xfId="0" quotePrefix="1" applyFont="1" applyFill="1" applyBorder="1" applyAlignment="1" applyProtection="1">
      <alignment horizontal="center" vertical="center"/>
      <protection locked="0"/>
    </xf>
    <xf numFmtId="0" fontId="5" fillId="9" borderId="14" xfId="0" quotePrefix="1" applyFont="1" applyFill="1" applyBorder="1" applyAlignment="1" applyProtection="1">
      <alignment horizontal="center" vertical="center"/>
      <protection locked="0"/>
    </xf>
    <xf numFmtId="14" fontId="5" fillId="9" borderId="12" xfId="0" applyNumberFormat="1" applyFont="1" applyFill="1" applyBorder="1" applyAlignment="1" applyProtection="1">
      <alignment horizontal="center" vertical="center"/>
      <protection locked="0"/>
    </xf>
    <xf numFmtId="14" fontId="5" fillId="9" borderId="14" xfId="0" applyNumberFormat="1" applyFont="1" applyFill="1" applyBorder="1" applyAlignment="1" applyProtection="1">
      <alignment horizontal="center" vertical="center"/>
      <protection locked="0"/>
    </xf>
    <xf numFmtId="14" fontId="2" fillId="0" borderId="12" xfId="0" applyNumberFormat="1" applyFont="1" applyBorder="1" applyAlignment="1">
      <alignment horizontal="center" vertical="center" shrinkToFit="1"/>
    </xf>
    <xf numFmtId="14" fontId="2" fillId="0" borderId="46" xfId="0" applyNumberFormat="1" applyFont="1" applyBorder="1" applyAlignment="1">
      <alignment horizontal="center" vertical="center" shrinkToFit="1"/>
    </xf>
    <xf numFmtId="14" fontId="7" fillId="9" borderId="27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28" xfId="0" applyFont="1" applyBorder="1" applyAlignment="1" applyProtection="1">
      <alignment horizontal="center" vertical="center"/>
    </xf>
    <xf numFmtId="0" fontId="13" fillId="0" borderId="129" xfId="0" applyFont="1" applyBorder="1" applyAlignment="1" applyProtection="1">
      <alignment horizontal="center" vertical="center"/>
    </xf>
    <xf numFmtId="0" fontId="13" fillId="0" borderId="130" xfId="0" applyFont="1" applyBorder="1" applyAlignment="1" applyProtection="1">
      <alignment horizontal="center" vertical="center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wrapText="1"/>
      <protection locked="0"/>
    </xf>
    <xf numFmtId="0" fontId="7" fillId="9" borderId="12" xfId="0" applyFont="1" applyFill="1" applyBorder="1" applyAlignment="1" applyProtection="1">
      <alignment horizontal="center" vertical="center" wrapText="1"/>
      <protection locked="0"/>
    </xf>
    <xf numFmtId="0" fontId="13" fillId="0" borderId="12" xfId="0" applyFont="1" applyFill="1" applyBorder="1" applyAlignment="1" applyProtection="1">
      <alignment horizontal="center" vertical="center" wrapText="1"/>
    </xf>
    <xf numFmtId="0" fontId="13" fillId="0" borderId="12" xfId="0" applyFont="1" applyFill="1" applyBorder="1" applyAlignment="1" applyProtection="1">
      <alignment horizontal="center" vertical="center" shrinkToFit="1"/>
    </xf>
    <xf numFmtId="0" fontId="13" fillId="0" borderId="16" xfId="0" applyFont="1" applyFill="1" applyBorder="1" applyAlignment="1" applyProtection="1">
      <alignment horizontal="center" vertical="center"/>
    </xf>
    <xf numFmtId="0" fontId="13" fillId="0" borderId="15" xfId="0" applyFont="1" applyFill="1" applyBorder="1" applyAlignment="1" applyProtection="1">
      <alignment horizontal="center" vertical="center"/>
    </xf>
    <xf numFmtId="0" fontId="13" fillId="0" borderId="17" xfId="0" applyFont="1" applyFill="1" applyBorder="1" applyAlignment="1" applyProtection="1">
      <alignment horizontal="center" vertical="center"/>
    </xf>
    <xf numFmtId="0" fontId="7" fillId="9" borderId="13" xfId="0" applyFont="1" applyFill="1" applyBorder="1" applyAlignment="1" applyProtection="1">
      <alignment horizontal="center" vertical="center" wrapText="1"/>
      <protection locked="0"/>
    </xf>
    <xf numFmtId="184" fontId="7" fillId="0" borderId="13" xfId="0" applyNumberFormat="1" applyFont="1" applyFill="1" applyBorder="1" applyAlignment="1" applyProtection="1">
      <alignment horizontal="center" vertical="center" wrapText="1"/>
    </xf>
    <xf numFmtId="0" fontId="2" fillId="0" borderId="51" xfId="0" applyFont="1" applyBorder="1" applyAlignment="1" applyProtection="1">
      <alignment horizontal="center" vertical="center" shrinkToFit="1"/>
    </xf>
    <xf numFmtId="0" fontId="2" fillId="0" borderId="131" xfId="0" applyFont="1" applyBorder="1" applyAlignment="1" applyProtection="1">
      <alignment horizontal="center" vertical="center" shrinkToFit="1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80" fontId="13" fillId="0" borderId="92" xfId="0" applyNumberFormat="1" applyFont="1" applyFill="1" applyBorder="1" applyAlignment="1" applyProtection="1">
      <alignment horizontal="center" vertical="center"/>
    </xf>
    <xf numFmtId="178" fontId="7" fillId="0" borderId="19" xfId="0" applyNumberFormat="1" applyFont="1" applyFill="1" applyBorder="1" applyAlignment="1" applyProtection="1">
      <alignment horizontal="center" vertical="center" wrapText="1"/>
    </xf>
    <xf numFmtId="182" fontId="7" fillId="0" borderId="32" xfId="0" applyNumberFormat="1" applyFont="1" applyFill="1" applyBorder="1" applyAlignment="1" applyProtection="1">
      <alignment horizontal="center" vertical="center" shrinkToFit="1"/>
      <protection locked="0"/>
    </xf>
    <xf numFmtId="182" fontId="7" fillId="0" borderId="13" xfId="0" applyNumberFormat="1" applyFont="1" applyFill="1" applyBorder="1" applyAlignment="1" applyProtection="1">
      <alignment horizontal="center" vertical="center" shrinkToFit="1"/>
      <protection locked="0"/>
    </xf>
    <xf numFmtId="182" fontId="7" fillId="0" borderId="12" xfId="0" applyNumberFormat="1" applyFont="1" applyFill="1" applyBorder="1" applyAlignment="1" applyProtection="1">
      <alignment horizontal="center" vertical="center" shrinkToFit="1"/>
      <protection locked="0"/>
    </xf>
    <xf numFmtId="14" fontId="5" fillId="9" borderId="13" xfId="0" applyNumberFormat="1" applyFont="1" applyFill="1" applyBorder="1" applyAlignment="1" applyProtection="1">
      <alignment horizontal="center" vertical="center"/>
      <protection locked="0"/>
    </xf>
    <xf numFmtId="0" fontId="9" fillId="0" borderId="30" xfId="0" applyNumberFormat="1" applyFont="1" applyBorder="1" applyAlignment="1" applyProtection="1">
      <alignment horizontal="center" vertical="center" shrinkToFit="1"/>
    </xf>
    <xf numFmtId="0" fontId="9" fillId="0" borderId="16" xfId="0" applyNumberFormat="1" applyFont="1" applyBorder="1" applyAlignment="1" applyProtection="1">
      <alignment horizontal="center" vertical="center" shrinkToFit="1"/>
    </xf>
    <xf numFmtId="178" fontId="7" fillId="0" borderId="22" xfId="0" applyNumberFormat="1" applyFont="1" applyFill="1" applyBorder="1" applyAlignment="1" applyProtection="1">
      <alignment vertical="center" wrapText="1"/>
    </xf>
    <xf numFmtId="180" fontId="13" fillId="0" borderId="30" xfId="0" applyNumberFormat="1" applyFont="1" applyFill="1" applyBorder="1" applyAlignment="1" applyProtection="1">
      <alignment vertical="center"/>
    </xf>
    <xf numFmtId="178" fontId="7" fillId="0" borderId="17" xfId="0" applyNumberFormat="1" applyFont="1" applyFill="1" applyBorder="1" applyAlignment="1" applyProtection="1">
      <alignment vertical="center" wrapText="1"/>
    </xf>
    <xf numFmtId="177" fontId="5" fillId="5" borderId="12" xfId="0" applyNumberFormat="1" applyFont="1" applyFill="1" applyBorder="1" applyAlignment="1" applyProtection="1">
      <alignment horizontal="center" vertical="center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20" fillId="0" borderId="12" xfId="0" applyFont="1" applyBorder="1" applyAlignment="1" applyProtection="1">
      <alignment vertical="center" shrinkToFit="1"/>
    </xf>
    <xf numFmtId="0" fontId="20" fillId="0" borderId="13" xfId="0" applyFont="1" applyBorder="1" applyAlignment="1" applyProtection="1">
      <alignment horizontal="center" vertical="center" wrapText="1"/>
    </xf>
    <xf numFmtId="182" fontId="7" fillId="6" borderId="12" xfId="0" applyNumberFormat="1" applyFont="1" applyFill="1" applyBorder="1" applyAlignment="1" applyProtection="1">
      <alignment horizontal="center" vertical="center" shrinkToFit="1"/>
    </xf>
    <xf numFmtId="0" fontId="13" fillId="0" borderId="138" xfId="0" applyFont="1" applyBorder="1" applyAlignment="1" applyProtection="1">
      <alignment horizontal="center" vertical="center"/>
    </xf>
    <xf numFmtId="0" fontId="13" fillId="0" borderId="139" xfId="0" applyFont="1" applyBorder="1" applyAlignment="1" applyProtection="1">
      <alignment horizontal="center" vertical="center"/>
    </xf>
    <xf numFmtId="0" fontId="13" fillId="0" borderId="140" xfId="0" applyFont="1" applyBorder="1" applyAlignment="1" applyProtection="1">
      <alignment horizontal="center" vertical="center"/>
    </xf>
    <xf numFmtId="0" fontId="13" fillId="0" borderId="141" xfId="0" applyFont="1" applyBorder="1" applyAlignment="1" applyProtection="1">
      <alignment horizontal="center" vertical="center"/>
    </xf>
    <xf numFmtId="0" fontId="13" fillId="0" borderId="142" xfId="0" applyFont="1" applyBorder="1" applyAlignment="1" applyProtection="1">
      <alignment horizontal="center" vertical="center"/>
    </xf>
    <xf numFmtId="0" fontId="13" fillId="0" borderId="143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 wrapText="1"/>
    </xf>
    <xf numFmtId="0" fontId="45" fillId="0" borderId="0" xfId="0" applyFont="1" applyProtection="1">
      <alignment vertical="center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179" fontId="18" fillId="5" borderId="44" xfId="0" applyNumberFormat="1" applyFont="1" applyFill="1" applyBorder="1" applyAlignment="1" applyProtection="1">
      <alignment horizontal="center" vertical="center" wrapText="1"/>
    </xf>
    <xf numFmtId="179" fontId="2" fillId="2" borderId="27" xfId="0" applyNumberFormat="1" applyFont="1" applyFill="1" applyBorder="1" applyAlignment="1" applyProtection="1">
      <alignment horizontal="center" vertical="center" wrapText="1"/>
    </xf>
    <xf numFmtId="179" fontId="18" fillId="5" borderId="27" xfId="0" applyNumberFormat="1" applyFont="1" applyFill="1" applyBorder="1" applyAlignment="1" applyProtection="1">
      <alignment horizontal="center" vertical="center"/>
    </xf>
    <xf numFmtId="0" fontId="5" fillId="9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13" fillId="0" borderId="155" xfId="0" applyFont="1" applyBorder="1" applyAlignment="1" applyProtection="1">
      <alignment horizontal="center" vertical="center"/>
    </xf>
    <xf numFmtId="0" fontId="13" fillId="0" borderId="35" xfId="0" applyFont="1" applyBorder="1" applyAlignment="1" applyProtection="1">
      <alignment horizontal="center" vertical="center"/>
    </xf>
    <xf numFmtId="0" fontId="13" fillId="0" borderId="36" xfId="0" applyFont="1" applyBorder="1" applyAlignment="1" applyProtection="1">
      <alignment horizontal="center" vertical="center"/>
    </xf>
    <xf numFmtId="182" fontId="7" fillId="0" borderId="25" xfId="0" applyNumberFormat="1" applyFont="1" applyFill="1" applyBorder="1" applyAlignment="1" applyProtection="1">
      <alignment horizontal="center" vertical="center" shrinkToFit="1"/>
    </xf>
    <xf numFmtId="182" fontId="7" fillId="0" borderId="13" xfId="0" applyNumberFormat="1" applyFont="1" applyFill="1" applyBorder="1" applyAlignment="1" applyProtection="1">
      <alignment horizontal="center" vertical="center" shrinkToFit="1"/>
    </xf>
    <xf numFmtId="0" fontId="7" fillId="9" borderId="13" xfId="0" applyFont="1" applyFill="1" applyBorder="1" applyAlignment="1" applyProtection="1">
      <alignment horizontal="center" vertical="center" shrinkToFit="1"/>
      <protection locked="0"/>
    </xf>
    <xf numFmtId="14" fontId="2" fillId="0" borderId="12" xfId="0" applyNumberFormat="1" applyFont="1" applyFill="1" applyBorder="1" applyAlignment="1" applyProtection="1">
      <alignment horizontal="center" vertical="center" shrinkToFit="1"/>
    </xf>
    <xf numFmtId="0" fontId="0" fillId="0" borderId="0" xfId="0" applyFill="1" applyAlignment="1">
      <alignment horizontal="center" vertical="center"/>
    </xf>
    <xf numFmtId="178" fontId="2" fillId="0" borderId="12" xfId="0" applyNumberFormat="1" applyFont="1" applyFill="1" applyBorder="1" applyAlignment="1" applyProtection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159" xfId="0" applyBorder="1" applyAlignment="1">
      <alignment horizontal="center" vertical="center"/>
    </xf>
    <xf numFmtId="0" fontId="0" fillId="0" borderId="147" xfId="0" applyBorder="1" applyAlignment="1">
      <alignment horizontal="center" vertical="center"/>
    </xf>
    <xf numFmtId="0" fontId="0" fillId="0" borderId="148" xfId="0" applyBorder="1" applyAlignment="1">
      <alignment horizontal="center" vertical="center"/>
    </xf>
    <xf numFmtId="0" fontId="0" fillId="0" borderId="163" xfId="0" applyBorder="1" applyAlignment="1">
      <alignment horizontal="center" vertical="center"/>
    </xf>
    <xf numFmtId="0" fontId="0" fillId="0" borderId="164" xfId="0" applyBorder="1" applyAlignment="1">
      <alignment horizontal="center" vertical="center"/>
    </xf>
    <xf numFmtId="0" fontId="0" fillId="0" borderId="165" xfId="0" applyBorder="1" applyAlignment="1">
      <alignment horizontal="center" vertical="center"/>
    </xf>
    <xf numFmtId="0" fontId="0" fillId="0" borderId="166" xfId="0" applyBorder="1" applyAlignment="1">
      <alignment horizontal="center" vertical="center"/>
    </xf>
    <xf numFmtId="0" fontId="48" fillId="0" borderId="160" xfId="0" applyFont="1" applyBorder="1" applyAlignment="1">
      <alignment horizontal="center" vertical="center" shrinkToFit="1"/>
    </xf>
    <xf numFmtId="0" fontId="48" fillId="5" borderId="160" xfId="0" applyFont="1" applyFill="1" applyBorder="1" applyAlignment="1">
      <alignment horizontal="center" vertical="center" shrinkToFit="1"/>
    </xf>
    <xf numFmtId="0" fontId="48" fillId="0" borderId="161" xfId="0" applyFont="1" applyBorder="1" applyAlignment="1">
      <alignment horizontal="center" vertical="center" shrinkToFit="1"/>
    </xf>
    <xf numFmtId="0" fontId="48" fillId="0" borderId="158" xfId="0" applyFont="1" applyBorder="1" applyAlignment="1">
      <alignment horizontal="center" vertical="center" shrinkToFit="1"/>
    </xf>
    <xf numFmtId="0" fontId="48" fillId="0" borderId="162" xfId="0" applyFont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4" xfId="0" applyFont="1" applyBorder="1" applyAlignment="1" applyProtection="1">
      <alignment horizontal="center" vertical="center" shrinkToFit="1"/>
    </xf>
    <xf numFmtId="0" fontId="2" fillId="0" borderId="12" xfId="0" applyFont="1" applyBorder="1" applyAlignment="1" applyProtection="1">
      <alignment horizontal="center" vertical="center" shrinkToFit="1"/>
    </xf>
    <xf numFmtId="0" fontId="2" fillId="0" borderId="13" xfId="0" applyFont="1" applyBorder="1" applyAlignment="1" applyProtection="1">
      <alignment horizontal="center" vertical="center" shrinkToFit="1"/>
    </xf>
    <xf numFmtId="0" fontId="2" fillId="0" borderId="46" xfId="0" applyFont="1" applyBorder="1" applyAlignment="1" applyProtection="1">
      <alignment horizontal="center" vertical="center" shrinkToFit="1"/>
    </xf>
    <xf numFmtId="0" fontId="12" fillId="0" borderId="0" xfId="0" applyFont="1" applyFill="1" applyProtection="1">
      <alignment vertical="center"/>
    </xf>
    <xf numFmtId="0" fontId="25" fillId="5" borderId="12" xfId="0" applyFont="1" applyFill="1" applyBorder="1" applyAlignment="1" applyProtection="1">
      <alignment horizontal="center" vertical="center" wrapText="1"/>
    </xf>
    <xf numFmtId="182" fontId="15" fillId="0" borderId="152" xfId="0" applyNumberFormat="1" applyFont="1" applyFill="1" applyBorder="1" applyAlignment="1" applyProtection="1">
      <alignment horizontal="center" vertical="center" shrinkToFit="1"/>
    </xf>
    <xf numFmtId="182" fontId="15" fillId="0" borderId="153" xfId="0" applyNumberFormat="1" applyFont="1" applyFill="1" applyBorder="1" applyAlignment="1" applyProtection="1">
      <alignment horizontal="center" vertical="center" shrinkToFit="1"/>
    </xf>
    <xf numFmtId="182" fontId="15" fillId="0" borderId="13" xfId="0" applyNumberFormat="1" applyFont="1" applyFill="1" applyBorder="1" applyAlignment="1" applyProtection="1">
      <alignment horizontal="center" vertical="center" shrinkToFit="1"/>
    </xf>
    <xf numFmtId="182" fontId="15" fillId="0" borderId="154" xfId="0" applyNumberFormat="1" applyFont="1" applyFill="1" applyBorder="1" applyAlignment="1" applyProtection="1">
      <alignment horizontal="center" vertical="center" shrinkToFit="1"/>
    </xf>
    <xf numFmtId="182" fontId="15" fillId="0" borderId="12" xfId="0" applyNumberFormat="1" applyFont="1" applyFill="1" applyBorder="1" applyAlignment="1" applyProtection="1">
      <alignment horizontal="center" vertical="center" shrinkToFit="1"/>
    </xf>
    <xf numFmtId="182" fontId="15" fillId="0" borderId="25" xfId="0" applyNumberFormat="1" applyFont="1" applyFill="1" applyBorder="1" applyAlignment="1" applyProtection="1">
      <alignment horizontal="center" vertical="center" shrinkToFit="1"/>
    </xf>
    <xf numFmtId="182" fontId="15" fillId="0" borderId="14" xfId="0" applyNumberFormat="1" applyFont="1" applyFill="1" applyBorder="1" applyAlignment="1" applyProtection="1">
      <alignment horizontal="center" vertical="center" shrinkToFit="1"/>
    </xf>
    <xf numFmtId="179" fontId="2" fillId="0" borderId="96" xfId="0" applyNumberFormat="1" applyFont="1" applyBorder="1" applyAlignment="1" applyProtection="1">
      <alignment horizontal="center" vertical="center" shrinkToFit="1"/>
    </xf>
    <xf numFmtId="179" fontId="2" fillId="0" borderId="149" xfId="0" applyNumberFormat="1" applyFont="1" applyBorder="1" applyAlignment="1" applyProtection="1">
      <alignment horizontal="center" vertical="center" shrinkToFit="1"/>
    </xf>
    <xf numFmtId="179" fontId="2" fillId="0" borderId="58" xfId="0" applyNumberFormat="1" applyFont="1" applyBorder="1" applyAlignment="1" applyProtection="1">
      <alignment horizontal="center" vertical="center" shrinkToFit="1"/>
    </xf>
    <xf numFmtId="179" fontId="2" fillId="0" borderId="27" xfId="0" applyNumberFormat="1" applyFont="1" applyBorder="1" applyAlignment="1" applyProtection="1">
      <alignment horizontal="center" vertical="center" shrinkToFit="1"/>
    </xf>
    <xf numFmtId="179" fontId="2" fillId="0" borderId="93" xfId="0" applyNumberFormat="1" applyFont="1" applyBorder="1" applyAlignment="1" applyProtection="1">
      <alignment horizontal="center" vertical="center" shrinkToFit="1"/>
    </xf>
    <xf numFmtId="178" fontId="2" fillId="0" borderId="44" xfId="0" applyNumberFormat="1" applyFont="1" applyBorder="1" applyAlignment="1">
      <alignment horizontal="center" vertical="center" shrinkToFit="1"/>
    </xf>
    <xf numFmtId="178" fontId="2" fillId="0" borderId="47" xfId="0" applyNumberFormat="1" applyFont="1" applyBorder="1" applyAlignment="1">
      <alignment horizontal="center" vertical="center" shrinkToFit="1"/>
    </xf>
    <xf numFmtId="178" fontId="2" fillId="0" borderId="12" xfId="0" applyNumberFormat="1" applyFont="1" applyBorder="1" applyAlignment="1">
      <alignment horizontal="center" vertical="center" shrinkToFit="1"/>
    </xf>
    <xf numFmtId="179" fontId="1" fillId="0" borderId="47" xfId="0" applyNumberFormat="1" applyFont="1" applyBorder="1" applyAlignment="1">
      <alignment horizontal="center" vertical="center" shrinkToFit="1"/>
    </xf>
    <xf numFmtId="179" fontId="1" fillId="0" borderId="82" xfId="0" applyNumberFormat="1" applyFont="1" applyBorder="1" applyAlignment="1">
      <alignment horizontal="center" vertical="center" shrinkToFit="1"/>
    </xf>
    <xf numFmtId="178" fontId="20" fillId="0" borderId="12" xfId="0" applyNumberFormat="1" applyFont="1" applyFill="1" applyBorder="1" applyAlignment="1">
      <alignment horizontal="center" vertical="center" wrapText="1"/>
    </xf>
    <xf numFmtId="177" fontId="5" fillId="5" borderId="32" xfId="0" applyNumberFormat="1" applyFont="1" applyFill="1" applyBorder="1" applyAlignment="1" applyProtection="1">
      <alignment horizontal="center" vertical="center"/>
    </xf>
    <xf numFmtId="180" fontId="13" fillId="0" borderId="0" xfId="0" applyNumberFormat="1" applyFont="1" applyFill="1" applyBorder="1" applyAlignment="1" applyProtection="1">
      <alignment horizontal="center" vertical="center"/>
    </xf>
    <xf numFmtId="177" fontId="5" fillId="5" borderId="13" xfId="0" applyNumberFormat="1" applyFont="1" applyFill="1" applyBorder="1" applyAlignment="1" applyProtection="1">
      <alignment horizontal="center" vertical="center"/>
    </xf>
    <xf numFmtId="0" fontId="9" fillId="5" borderId="17" xfId="0" applyFont="1" applyFill="1" applyBorder="1" applyAlignment="1" applyProtection="1">
      <alignment horizontal="center" vertical="center" wrapText="1"/>
    </xf>
    <xf numFmtId="0" fontId="13" fillId="5" borderId="16" xfId="0" applyFont="1" applyFill="1" applyBorder="1" applyAlignment="1" applyProtection="1">
      <alignment horizontal="center" vertical="center"/>
    </xf>
    <xf numFmtId="0" fontId="13" fillId="5" borderId="15" xfId="0" applyFont="1" applyFill="1" applyBorder="1" applyAlignment="1" applyProtection="1">
      <alignment horizontal="center" vertical="center"/>
    </xf>
    <xf numFmtId="0" fontId="13" fillId="5" borderId="17" xfId="0" applyFont="1" applyFill="1" applyBorder="1" applyAlignment="1" applyProtection="1">
      <alignment horizontal="center" vertical="center"/>
    </xf>
    <xf numFmtId="179" fontId="5" fillId="0" borderId="36" xfId="0" applyNumberFormat="1" applyFont="1" applyBorder="1" applyAlignment="1" applyProtection="1">
      <alignment horizontal="center" vertical="center"/>
    </xf>
    <xf numFmtId="0" fontId="20" fillId="5" borderId="12" xfId="0" applyFont="1" applyFill="1" applyBorder="1" applyAlignment="1" applyProtection="1">
      <alignment horizontal="center" vertical="center" wrapText="1"/>
    </xf>
    <xf numFmtId="0" fontId="2" fillId="2" borderId="43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0" borderId="45" xfId="0" applyFont="1" applyBorder="1" applyAlignment="1" applyProtection="1">
      <alignment horizontal="center" vertical="center" wrapText="1"/>
    </xf>
    <xf numFmtId="0" fontId="2" fillId="0" borderId="46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179" fontId="1" fillId="10" borderId="85" xfId="0" applyNumberFormat="1" applyFont="1" applyFill="1" applyBorder="1" applyAlignment="1" applyProtection="1">
      <alignment horizontal="center" vertical="center" shrinkToFit="1"/>
    </xf>
    <xf numFmtId="14" fontId="16" fillId="9" borderId="152" xfId="0" applyNumberFormat="1" applyFont="1" applyFill="1" applyBorder="1" applyAlignment="1" applyProtection="1">
      <alignment horizontal="center" vertical="center"/>
      <protection locked="0"/>
    </xf>
    <xf numFmtId="0" fontId="15" fillId="6" borderId="152" xfId="0" applyFont="1" applyFill="1" applyBorder="1" applyAlignment="1" applyProtection="1">
      <alignment horizontal="center" vertical="center" wrapText="1"/>
    </xf>
    <xf numFmtId="0" fontId="15" fillId="6" borderId="152" xfId="0" applyFont="1" applyFill="1" applyBorder="1" applyAlignment="1" applyProtection="1">
      <alignment horizontal="center" vertical="center" shrinkToFit="1"/>
    </xf>
    <xf numFmtId="14" fontId="15" fillId="9" borderId="153" xfId="0" applyNumberFormat="1" applyFont="1" applyFill="1" applyBorder="1" applyAlignment="1" applyProtection="1">
      <alignment horizontal="center" vertical="center" shrinkToFit="1"/>
      <protection locked="0"/>
    </xf>
    <xf numFmtId="14" fontId="16" fillId="9" borderId="153" xfId="0" applyNumberFormat="1" applyFont="1" applyFill="1" applyBorder="1" applyAlignment="1" applyProtection="1">
      <alignment horizontal="center" vertical="center"/>
      <protection locked="0"/>
    </xf>
    <xf numFmtId="0" fontId="15" fillId="6" borderId="153" xfId="0" applyFont="1" applyFill="1" applyBorder="1" applyAlignment="1" applyProtection="1">
      <alignment horizontal="center" vertical="center" wrapText="1"/>
    </xf>
    <xf numFmtId="0" fontId="15" fillId="6" borderId="153" xfId="0" applyFont="1" applyFill="1" applyBorder="1" applyAlignment="1" applyProtection="1">
      <alignment horizontal="center" vertical="center" shrinkToFit="1"/>
    </xf>
    <xf numFmtId="14" fontId="15" fillId="9" borderId="13" xfId="0" applyNumberFormat="1" applyFont="1" applyFill="1" applyBorder="1" applyAlignment="1" applyProtection="1">
      <alignment horizontal="center" vertical="center" shrinkToFit="1"/>
      <protection locked="0"/>
    </xf>
    <xf numFmtId="14" fontId="16" fillId="9" borderId="13" xfId="0" applyNumberFormat="1" applyFont="1" applyFill="1" applyBorder="1" applyAlignment="1" applyProtection="1">
      <alignment horizontal="center" vertical="center"/>
      <protection locked="0"/>
    </xf>
    <xf numFmtId="0" fontId="15" fillId="6" borderId="13" xfId="0" applyFont="1" applyFill="1" applyBorder="1" applyAlignment="1" applyProtection="1">
      <alignment horizontal="center" vertical="center" wrapText="1"/>
    </xf>
    <xf numFmtId="0" fontId="15" fillId="6" borderId="13" xfId="0" applyFont="1" applyFill="1" applyBorder="1" applyAlignment="1" applyProtection="1">
      <alignment horizontal="center" vertical="center" shrinkToFit="1"/>
    </xf>
    <xf numFmtId="14" fontId="15" fillId="9" borderId="154" xfId="0" applyNumberFormat="1" applyFont="1" applyFill="1" applyBorder="1" applyAlignment="1" applyProtection="1">
      <alignment horizontal="center" vertical="center" shrinkToFit="1"/>
      <protection locked="0"/>
    </xf>
    <xf numFmtId="14" fontId="16" fillId="9" borderId="154" xfId="0" applyNumberFormat="1" applyFont="1" applyFill="1" applyBorder="1" applyAlignment="1" applyProtection="1">
      <alignment horizontal="center" vertical="center"/>
      <protection locked="0"/>
    </xf>
    <xf numFmtId="0" fontId="15" fillId="6" borderId="154" xfId="0" applyFont="1" applyFill="1" applyBorder="1" applyAlignment="1" applyProtection="1">
      <alignment horizontal="center" vertical="center" wrapText="1"/>
    </xf>
    <xf numFmtId="0" fontId="15" fillId="6" borderId="154" xfId="0" applyFont="1" applyFill="1" applyBorder="1" applyAlignment="1" applyProtection="1">
      <alignment horizontal="center" vertical="center" shrinkToFit="1"/>
    </xf>
    <xf numFmtId="0" fontId="15" fillId="9" borderId="12" xfId="0" applyFont="1" applyFill="1" applyBorder="1" applyAlignment="1" applyProtection="1">
      <alignment horizontal="center" vertical="center" shrinkToFit="1"/>
      <protection locked="0"/>
    </xf>
    <xf numFmtId="14" fontId="16" fillId="9" borderId="12" xfId="0" applyNumberFormat="1" applyFont="1" applyFill="1" applyBorder="1" applyAlignment="1" applyProtection="1">
      <alignment horizontal="center" vertical="center"/>
      <protection locked="0"/>
    </xf>
    <xf numFmtId="0" fontId="15" fillId="9" borderId="25" xfId="0" applyFont="1" applyFill="1" applyBorder="1" applyAlignment="1" applyProtection="1">
      <alignment horizontal="center" vertical="center" shrinkToFit="1"/>
      <protection locked="0"/>
    </xf>
    <xf numFmtId="0" fontId="15" fillId="9" borderId="152" xfId="0" applyFont="1" applyFill="1" applyBorder="1" applyAlignment="1" applyProtection="1">
      <alignment horizontal="center" vertical="center" shrinkToFit="1"/>
      <protection locked="0"/>
    </xf>
    <xf numFmtId="0" fontId="15" fillId="9" borderId="32" xfId="0" applyFont="1" applyFill="1" applyBorder="1" applyAlignment="1" applyProtection="1">
      <alignment horizontal="center" vertical="center" shrinkToFit="1"/>
      <protection locked="0"/>
    </xf>
    <xf numFmtId="0" fontId="15" fillId="9" borderId="153" xfId="0" applyFont="1" applyFill="1" applyBorder="1" applyAlignment="1" applyProtection="1">
      <alignment horizontal="center" vertical="center" shrinkToFit="1"/>
      <protection locked="0"/>
    </xf>
    <xf numFmtId="0" fontId="15" fillId="9" borderId="14" xfId="0" applyFont="1" applyFill="1" applyBorder="1" applyAlignment="1" applyProtection="1">
      <alignment horizontal="center" vertical="center" shrinkToFit="1"/>
      <protection locked="0"/>
    </xf>
    <xf numFmtId="14" fontId="16" fillId="9" borderId="14" xfId="0" applyNumberFormat="1" applyFont="1" applyFill="1" applyBorder="1" applyAlignment="1" applyProtection="1">
      <alignment horizontal="center" vertical="center"/>
      <protection locked="0"/>
    </xf>
    <xf numFmtId="0" fontId="15" fillId="6" borderId="14" xfId="0" applyFont="1" applyFill="1" applyBorder="1" applyAlignment="1" applyProtection="1">
      <alignment horizontal="center" vertical="center" wrapText="1"/>
    </xf>
    <xf numFmtId="0" fontId="15" fillId="6" borderId="14" xfId="0" applyFont="1" applyFill="1" applyBorder="1" applyAlignment="1" applyProtection="1">
      <alignment horizontal="center" vertical="center" shrinkToFit="1"/>
    </xf>
    <xf numFmtId="0" fontId="5" fillId="11" borderId="0" xfId="0" applyFont="1" applyFill="1" applyProtection="1">
      <alignment vertical="center"/>
    </xf>
    <xf numFmtId="0" fontId="20" fillId="5" borderId="12" xfId="0" applyFont="1" applyFill="1" applyBorder="1" applyAlignment="1" applyProtection="1">
      <alignment horizontal="center" vertical="center" wrapText="1"/>
    </xf>
    <xf numFmtId="0" fontId="2" fillId="2" borderId="27" xfId="0" applyFont="1" applyFill="1" applyBorder="1" applyAlignment="1" applyProtection="1">
      <alignment horizontal="center" vertical="center" wrapText="1"/>
    </xf>
    <xf numFmtId="0" fontId="2" fillId="0" borderId="93" xfId="0" applyFont="1" applyBorder="1" applyAlignment="1" applyProtection="1">
      <alignment horizontal="center" vertical="center" wrapText="1"/>
    </xf>
    <xf numFmtId="0" fontId="2" fillId="2" borderId="44" xfId="0" applyFont="1" applyFill="1" applyBorder="1" applyAlignment="1" applyProtection="1">
      <alignment horizontal="center" vertical="center" wrapText="1"/>
    </xf>
    <xf numFmtId="0" fontId="2" fillId="0" borderId="47" xfId="0" applyFont="1" applyBorder="1" applyAlignment="1" applyProtection="1">
      <alignment horizontal="center" vertical="center" wrapText="1"/>
    </xf>
    <xf numFmtId="0" fontId="50" fillId="5" borderId="12" xfId="0" applyFont="1" applyFill="1" applyBorder="1" applyAlignment="1" applyProtection="1">
      <alignment horizontal="center" vertical="center" shrinkToFit="1"/>
    </xf>
    <xf numFmtId="0" fontId="50" fillId="5" borderId="14" xfId="0" applyFont="1" applyFill="1" applyBorder="1" applyAlignment="1" applyProtection="1">
      <alignment horizontal="center" vertical="center" wrapText="1"/>
    </xf>
    <xf numFmtId="0" fontId="51" fillId="5" borderId="14" xfId="0" applyFont="1" applyFill="1" applyBorder="1" applyAlignment="1" applyProtection="1">
      <alignment horizontal="center" vertical="center" shrinkToFit="1"/>
    </xf>
    <xf numFmtId="14" fontId="51" fillId="5" borderId="14" xfId="0" applyNumberFormat="1" applyFont="1" applyFill="1" applyBorder="1" applyAlignment="1" applyProtection="1">
      <alignment horizontal="center" vertical="center" wrapText="1"/>
    </xf>
    <xf numFmtId="0" fontId="51" fillId="5" borderId="14" xfId="0" applyFont="1" applyFill="1" applyBorder="1" applyAlignment="1" applyProtection="1">
      <alignment horizontal="center" vertical="center" wrapText="1"/>
    </xf>
    <xf numFmtId="182" fontId="51" fillId="5" borderId="14" xfId="0" applyNumberFormat="1" applyFont="1" applyFill="1" applyBorder="1" applyAlignment="1" applyProtection="1">
      <alignment horizontal="center" vertical="center" shrinkToFit="1"/>
    </xf>
    <xf numFmtId="178" fontId="51" fillId="5" borderId="21" xfId="0" applyNumberFormat="1" applyFont="1" applyFill="1" applyBorder="1" applyAlignment="1" applyProtection="1">
      <alignment horizontal="center" vertical="center" wrapText="1"/>
    </xf>
    <xf numFmtId="0" fontId="15" fillId="9" borderId="167" xfId="0" applyFont="1" applyFill="1" applyBorder="1" applyAlignment="1" applyProtection="1">
      <alignment horizontal="center" vertical="center" shrinkToFit="1"/>
      <protection locked="0"/>
    </xf>
    <xf numFmtId="14" fontId="16" fillId="9" borderId="167" xfId="0" applyNumberFormat="1" applyFont="1" applyFill="1" applyBorder="1" applyAlignment="1" applyProtection="1">
      <alignment horizontal="center" vertical="center"/>
      <protection locked="0"/>
    </xf>
    <xf numFmtId="0" fontId="15" fillId="6" borderId="167" xfId="0" applyFont="1" applyFill="1" applyBorder="1" applyAlignment="1" applyProtection="1">
      <alignment horizontal="center" vertical="center" wrapText="1"/>
    </xf>
    <xf numFmtId="0" fontId="15" fillId="6" borderId="167" xfId="0" applyFont="1" applyFill="1" applyBorder="1" applyAlignment="1" applyProtection="1">
      <alignment horizontal="center" vertical="center" shrinkToFit="1"/>
    </xf>
    <xf numFmtId="182" fontId="15" fillId="0" borderId="167" xfId="0" applyNumberFormat="1" applyFont="1" applyFill="1" applyBorder="1" applyAlignment="1" applyProtection="1">
      <alignment horizontal="center" vertical="center" shrinkToFit="1"/>
    </xf>
    <xf numFmtId="0" fontId="15" fillId="9" borderId="13" xfId="0" applyFont="1" applyFill="1" applyBorder="1" applyAlignment="1" applyProtection="1">
      <alignment horizontal="center" vertical="center" shrinkToFit="1"/>
      <protection locked="0"/>
    </xf>
    <xf numFmtId="182" fontId="15" fillId="0" borderId="32" xfId="0" applyNumberFormat="1" applyFont="1" applyFill="1" applyBorder="1" applyAlignment="1" applyProtection="1">
      <alignment horizontal="center" vertical="center" shrinkToFit="1"/>
    </xf>
    <xf numFmtId="0" fontId="15" fillId="9" borderId="154" xfId="0" applyFont="1" applyFill="1" applyBorder="1" applyAlignment="1" applyProtection="1">
      <alignment horizontal="center" vertical="center" shrinkToFit="1"/>
      <protection locked="0"/>
    </xf>
    <xf numFmtId="0" fontId="52" fillId="6" borderId="154" xfId="0" applyFont="1" applyFill="1" applyBorder="1" applyAlignment="1" applyProtection="1">
      <alignment horizontal="center" vertical="center" shrinkToFit="1"/>
      <protection hidden="1"/>
    </xf>
    <xf numFmtId="0" fontId="53" fillId="6" borderId="13" xfId="0" applyFont="1" applyFill="1" applyBorder="1" applyAlignment="1" applyProtection="1">
      <alignment horizontal="center" vertical="center" shrinkToFit="1"/>
      <protection hidden="1"/>
    </xf>
    <xf numFmtId="0" fontId="53" fillId="6" borderId="154" xfId="0" applyFont="1" applyFill="1" applyBorder="1" applyAlignment="1" applyProtection="1">
      <alignment horizontal="center" vertical="center" shrinkToFit="1"/>
      <protection hidden="1"/>
    </xf>
    <xf numFmtId="0" fontId="52" fillId="6" borderId="13" xfId="0" applyFont="1" applyFill="1" applyBorder="1" applyAlignment="1" applyProtection="1">
      <alignment horizontal="center" vertical="center" shrinkToFit="1"/>
      <protection hidden="1"/>
    </xf>
    <xf numFmtId="0" fontId="52" fillId="6" borderId="167" xfId="0" applyFont="1" applyFill="1" applyBorder="1" applyAlignment="1" applyProtection="1">
      <alignment horizontal="center" vertical="center" shrinkToFit="1"/>
      <protection hidden="1"/>
    </xf>
    <xf numFmtId="0" fontId="52" fillId="6" borderId="152" xfId="0" applyFont="1" applyFill="1" applyBorder="1" applyAlignment="1" applyProtection="1">
      <alignment horizontal="center" vertical="center" shrinkToFit="1"/>
      <protection hidden="1"/>
    </xf>
    <xf numFmtId="0" fontId="52" fillId="6" borderId="32" xfId="0" applyFont="1" applyFill="1" applyBorder="1" applyAlignment="1" applyProtection="1">
      <alignment horizontal="center" vertical="center" shrinkToFit="1"/>
      <protection hidden="1"/>
    </xf>
    <xf numFmtId="0" fontId="52" fillId="6" borderId="153" xfId="0" applyFont="1" applyFill="1" applyBorder="1" applyAlignment="1" applyProtection="1">
      <alignment horizontal="center" vertical="center" shrinkToFit="1"/>
      <protection hidden="1"/>
    </xf>
    <xf numFmtId="0" fontId="52" fillId="6" borderId="12" xfId="0" applyFont="1" applyFill="1" applyBorder="1" applyAlignment="1" applyProtection="1">
      <alignment horizontal="center" vertical="center" shrinkToFit="1"/>
      <protection hidden="1"/>
    </xf>
    <xf numFmtId="0" fontId="52" fillId="6" borderId="25" xfId="0" applyFont="1" applyFill="1" applyBorder="1" applyAlignment="1" applyProtection="1">
      <alignment horizontal="center" vertical="center" shrinkToFit="1"/>
      <protection hidden="1"/>
    </xf>
    <xf numFmtId="0" fontId="54" fillId="0" borderId="0" xfId="0" applyFont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3" xfId="0" applyFont="1" applyFill="1" applyBorder="1" applyAlignment="1" applyProtection="1">
      <alignment horizontal="center" vertical="center" shrinkToFit="1"/>
      <protection locked="0"/>
    </xf>
    <xf numFmtId="0" fontId="40" fillId="0" borderId="13" xfId="0" applyFont="1" applyFill="1" applyBorder="1" applyAlignment="1" applyProtection="1">
      <alignment horizontal="center" vertical="center" wrapText="1"/>
      <protection hidden="1"/>
    </xf>
    <xf numFmtId="0" fontId="60" fillId="0" borderId="13" xfId="0" applyFont="1" applyFill="1" applyBorder="1" applyAlignment="1" applyProtection="1">
      <alignment horizontal="center" vertical="center" wrapText="1"/>
      <protection hidden="1"/>
    </xf>
    <xf numFmtId="0" fontId="40" fillId="0" borderId="12" xfId="0" applyFont="1" applyFill="1" applyBorder="1" applyAlignment="1" applyProtection="1">
      <alignment horizontal="center" vertical="center" wrapText="1"/>
      <protection hidden="1"/>
    </xf>
    <xf numFmtId="0" fontId="60" fillId="0" borderId="12" xfId="0" applyFont="1" applyFill="1" applyBorder="1" applyAlignment="1" applyProtection="1">
      <alignment horizontal="center" vertical="center" wrapText="1"/>
      <protection hidden="1"/>
    </xf>
    <xf numFmtId="0" fontId="40" fillId="0" borderId="167" xfId="0" applyFont="1" applyFill="1" applyBorder="1" applyAlignment="1" applyProtection="1">
      <alignment horizontal="center" vertical="center" wrapText="1"/>
      <protection hidden="1"/>
    </xf>
    <xf numFmtId="0" fontId="60" fillId="0" borderId="167" xfId="0" applyFont="1" applyFill="1" applyBorder="1" applyAlignment="1" applyProtection="1">
      <alignment horizontal="center" vertical="center" wrapText="1"/>
      <protection hidden="1"/>
    </xf>
    <xf numFmtId="0" fontId="61" fillId="0" borderId="13" xfId="0" applyFont="1" applyFill="1" applyBorder="1" applyAlignment="1" applyProtection="1">
      <alignment horizontal="center" vertical="center" wrapText="1"/>
      <protection hidden="1"/>
    </xf>
    <xf numFmtId="0" fontId="61" fillId="0" borderId="12" xfId="0" applyFont="1" applyFill="1" applyBorder="1" applyAlignment="1" applyProtection="1">
      <alignment horizontal="center" vertical="center" wrapText="1"/>
      <protection hidden="1"/>
    </xf>
    <xf numFmtId="0" fontId="2" fillId="0" borderId="13" xfId="0" applyFont="1" applyFill="1" applyBorder="1" applyAlignment="1" applyProtection="1">
      <alignment horizontal="center" vertical="center" shrinkToFit="1"/>
      <protection hidden="1"/>
    </xf>
    <xf numFmtId="14" fontId="2" fillId="0" borderId="13" xfId="0" applyNumberFormat="1" applyFont="1" applyFill="1" applyBorder="1" applyAlignment="1" applyProtection="1">
      <alignment horizontal="center" vertical="center" shrinkToFit="1"/>
      <protection hidden="1"/>
    </xf>
    <xf numFmtId="0" fontId="2" fillId="0" borderId="12" xfId="0" applyFont="1" applyFill="1" applyBorder="1" applyAlignment="1" applyProtection="1">
      <alignment horizontal="center" vertical="center" shrinkToFit="1"/>
      <protection hidden="1"/>
    </xf>
    <xf numFmtId="14" fontId="2" fillId="0" borderId="12" xfId="0" applyNumberFormat="1" applyFont="1" applyFill="1" applyBorder="1" applyAlignment="1" applyProtection="1">
      <alignment horizontal="center" vertical="center" shrinkToFit="1"/>
      <protection hidden="1"/>
    </xf>
    <xf numFmtId="0" fontId="2" fillId="0" borderId="167" xfId="0" applyFont="1" applyFill="1" applyBorder="1" applyAlignment="1" applyProtection="1">
      <alignment horizontal="center" vertical="center" shrinkToFit="1"/>
      <protection hidden="1"/>
    </xf>
    <xf numFmtId="14" fontId="2" fillId="0" borderId="167" xfId="0" applyNumberFormat="1" applyFont="1" applyFill="1" applyBorder="1" applyAlignment="1" applyProtection="1">
      <alignment horizontal="center" vertical="center" shrinkToFit="1"/>
      <protection hidden="1"/>
    </xf>
    <xf numFmtId="0" fontId="61" fillId="0" borderId="167" xfId="0" applyFont="1" applyFill="1" applyBorder="1" applyAlignment="1" applyProtection="1">
      <alignment horizontal="center" vertical="center" wrapText="1"/>
      <protection hidden="1"/>
    </xf>
    <xf numFmtId="0" fontId="62" fillId="0" borderId="13" xfId="0" applyFont="1" applyFill="1" applyBorder="1" applyAlignment="1" applyProtection="1">
      <alignment horizontal="center" vertical="center" wrapText="1"/>
      <protection hidden="1"/>
    </xf>
    <xf numFmtId="0" fontId="59" fillId="0" borderId="13" xfId="0" applyFont="1" applyFill="1" applyBorder="1" applyAlignment="1" applyProtection="1">
      <alignment horizontal="center" vertical="center" wrapText="1"/>
      <protection hidden="1"/>
    </xf>
    <xf numFmtId="0" fontId="59" fillId="0" borderId="12" xfId="0" applyFont="1" applyFill="1" applyBorder="1" applyAlignment="1" applyProtection="1">
      <alignment horizontal="center" vertical="center" wrapText="1"/>
      <protection hidden="1"/>
    </xf>
    <xf numFmtId="0" fontId="59" fillId="0" borderId="167" xfId="0" applyFont="1" applyFill="1" applyBorder="1" applyAlignment="1" applyProtection="1">
      <alignment horizontal="center" vertical="center" wrapText="1"/>
      <protection hidden="1"/>
    </xf>
    <xf numFmtId="0" fontId="62" fillId="0" borderId="12" xfId="0" applyFont="1" applyFill="1" applyBorder="1" applyAlignment="1" applyProtection="1">
      <alignment horizontal="center" vertical="center" wrapText="1"/>
      <protection hidden="1"/>
    </xf>
    <xf numFmtId="0" fontId="62" fillId="0" borderId="167" xfId="0" applyFont="1" applyFill="1" applyBorder="1" applyAlignment="1" applyProtection="1">
      <alignment horizontal="center" vertical="center" wrapText="1"/>
      <protection hidden="1"/>
    </xf>
    <xf numFmtId="0" fontId="63" fillId="0" borderId="13" xfId="0" applyFont="1" applyFill="1" applyBorder="1" applyAlignment="1" applyProtection="1">
      <alignment horizontal="center" vertical="center" wrapText="1"/>
      <protection hidden="1"/>
    </xf>
    <xf numFmtId="0" fontId="63" fillId="0" borderId="12" xfId="0" applyFont="1" applyFill="1" applyBorder="1" applyAlignment="1" applyProtection="1">
      <alignment horizontal="center" vertical="center" wrapText="1"/>
      <protection hidden="1"/>
    </xf>
    <xf numFmtId="0" fontId="1" fillId="10" borderId="95" xfId="0" applyFont="1" applyFill="1" applyBorder="1" applyAlignment="1" applyProtection="1">
      <alignment horizontal="left" vertical="center" shrinkToFit="1"/>
      <protection hidden="1"/>
    </xf>
    <xf numFmtId="0" fontId="1" fillId="10" borderId="54" xfId="0" applyFont="1" applyFill="1" applyBorder="1" applyAlignment="1" applyProtection="1">
      <alignment horizontal="left" vertical="center" wrapText="1"/>
      <protection hidden="1"/>
    </xf>
    <xf numFmtId="0" fontId="1" fillId="10" borderId="101" xfId="0" applyFont="1" applyFill="1" applyBorder="1" applyAlignment="1" applyProtection="1">
      <alignment horizontal="left" vertical="center" wrapText="1"/>
      <protection hidden="1"/>
    </xf>
    <xf numFmtId="0" fontId="2" fillId="2" borderId="48" xfId="0" applyFont="1" applyFill="1" applyBorder="1" applyAlignment="1" applyProtection="1">
      <alignment horizontal="center" vertical="center" wrapText="1"/>
      <protection hidden="1"/>
    </xf>
    <xf numFmtId="0" fontId="2" fillId="2" borderId="12" xfId="0" applyFont="1" applyFill="1" applyBorder="1" applyAlignment="1" applyProtection="1">
      <alignment horizontal="center" vertical="center" wrapText="1"/>
      <protection hidden="1"/>
    </xf>
    <xf numFmtId="0" fontId="2" fillId="0" borderId="48" xfId="0" applyFont="1" applyBorder="1" applyAlignment="1" applyProtection="1">
      <alignment horizontal="center" vertical="center" wrapText="1"/>
      <protection hidden="1"/>
    </xf>
    <xf numFmtId="0" fontId="2" fillId="0" borderId="12" xfId="0" applyFont="1" applyBorder="1" applyAlignment="1" applyProtection="1">
      <alignment horizontal="center" vertical="center" wrapText="1"/>
      <protection hidden="1"/>
    </xf>
    <xf numFmtId="0" fontId="2" fillId="0" borderId="127" xfId="0" applyFont="1" applyBorder="1" applyAlignment="1" applyProtection="1">
      <alignment horizontal="center" vertical="center" wrapText="1"/>
      <protection hidden="1"/>
    </xf>
    <xf numFmtId="0" fontId="2" fillId="0" borderId="46" xfId="0" applyFont="1" applyBorder="1" applyAlignment="1" applyProtection="1">
      <alignment horizontal="center" vertical="center" wrapText="1"/>
      <protection hidden="1"/>
    </xf>
    <xf numFmtId="0" fontId="9" fillId="0" borderId="30" xfId="0" applyFont="1" applyFill="1" applyBorder="1" applyAlignment="1" applyProtection="1">
      <alignment horizontal="center" vertical="center" wrapText="1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78" fontId="7" fillId="0" borderId="19" xfId="0" applyNumberFormat="1" applyFont="1" applyFill="1" applyBorder="1" applyAlignment="1" applyProtection="1">
      <alignment horizontal="center" vertical="center" wrapText="1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14" fontId="7" fillId="9" borderId="14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78" fontId="2" fillId="0" borderId="25" xfId="0" applyNumberFormat="1" applyFont="1" applyFill="1" applyBorder="1" applyAlignment="1" applyProtection="1">
      <alignment horizontal="center" vertical="center" shrinkToFit="1"/>
    </xf>
    <xf numFmtId="0" fontId="13" fillId="0" borderId="171" xfId="0" applyFont="1" applyBorder="1" applyAlignment="1" applyProtection="1">
      <alignment horizontal="center" vertical="center"/>
    </xf>
    <xf numFmtId="0" fontId="13" fillId="0" borderId="116" xfId="0" applyFont="1" applyBorder="1" applyAlignment="1" applyProtection="1">
      <alignment horizontal="center" vertical="center"/>
    </xf>
    <xf numFmtId="0" fontId="13" fillId="0" borderId="172" xfId="0" applyFont="1" applyBorder="1" applyAlignment="1" applyProtection="1">
      <alignment horizontal="center" vertical="center"/>
    </xf>
    <xf numFmtId="0" fontId="13" fillId="0" borderId="15" xfId="0" applyFont="1" applyBorder="1" applyAlignment="1" applyProtection="1">
      <alignment horizontal="center" vertical="center"/>
    </xf>
    <xf numFmtId="0" fontId="13" fillId="0" borderId="17" xfId="0" applyFont="1" applyBorder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 shrinkToFit="1"/>
    </xf>
    <xf numFmtId="14" fontId="2" fillId="0" borderId="13" xfId="0" applyNumberFormat="1" applyFont="1" applyFill="1" applyBorder="1" applyAlignment="1" applyProtection="1">
      <alignment horizontal="center" vertical="center" shrinkToFit="1"/>
    </xf>
    <xf numFmtId="0" fontId="2" fillId="0" borderId="14" xfId="0" applyFont="1" applyFill="1" applyBorder="1" applyAlignment="1" applyProtection="1">
      <alignment horizontal="center" vertical="center" shrinkToFit="1"/>
    </xf>
    <xf numFmtId="14" fontId="2" fillId="0" borderId="14" xfId="0" applyNumberFormat="1" applyFont="1" applyFill="1" applyBorder="1" applyAlignment="1" applyProtection="1">
      <alignment horizontal="center" vertical="center" shrinkToFit="1"/>
    </xf>
    <xf numFmtId="0" fontId="20" fillId="5" borderId="14" xfId="0" applyFont="1" applyFill="1" applyBorder="1" applyAlignment="1" applyProtection="1">
      <alignment horizontal="center" vertical="center" wrapText="1"/>
    </xf>
    <xf numFmtId="0" fontId="2" fillId="0" borderId="15" xfId="0" applyFont="1" applyFill="1" applyBorder="1" applyAlignment="1" applyProtection="1">
      <alignment horizontal="center" vertical="center" shrinkToFit="1"/>
    </xf>
    <xf numFmtId="14" fontId="2" fillId="0" borderId="15" xfId="0" applyNumberFormat="1" applyFont="1" applyFill="1" applyBorder="1" applyAlignment="1" applyProtection="1">
      <alignment horizontal="center" vertical="center" shrinkToFit="1"/>
    </xf>
    <xf numFmtId="178" fontId="2" fillId="0" borderId="15" xfId="0" applyNumberFormat="1" applyFont="1" applyFill="1" applyBorder="1" applyAlignment="1" applyProtection="1">
      <alignment horizontal="center" vertical="center" shrinkToFit="1"/>
    </xf>
    <xf numFmtId="178" fontId="2" fillId="0" borderId="14" xfId="0" applyNumberFormat="1" applyFont="1" applyFill="1" applyBorder="1" applyAlignment="1" applyProtection="1">
      <alignment horizontal="center" vertical="center" shrinkToFit="1"/>
    </xf>
    <xf numFmtId="178" fontId="1" fillId="0" borderId="132" xfId="0" applyNumberFormat="1" applyFont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shrinkToFit="1"/>
    </xf>
    <xf numFmtId="180" fontId="2" fillId="0" borderId="14" xfId="0" applyNumberFormat="1" applyFont="1" applyFill="1" applyBorder="1" applyAlignment="1" applyProtection="1">
      <alignment horizontal="center" vertical="center" shrinkToFit="1"/>
    </xf>
    <xf numFmtId="180" fontId="2" fillId="0" borderId="13" xfId="0" applyNumberFormat="1" applyFont="1" applyFill="1" applyBorder="1" applyAlignment="1" applyProtection="1">
      <alignment horizontal="center" vertical="center" shrinkToFit="1"/>
    </xf>
    <xf numFmtId="0" fontId="2" fillId="0" borderId="15" xfId="0" applyNumberFormat="1" applyFont="1" applyFill="1" applyBorder="1" applyAlignment="1" applyProtection="1">
      <alignment horizontal="center" vertical="center" shrinkToFit="1"/>
    </xf>
    <xf numFmtId="180" fontId="2" fillId="0" borderId="15" xfId="0" applyNumberFormat="1" applyFont="1" applyFill="1" applyBorder="1" applyAlignment="1" applyProtection="1">
      <alignment horizontal="center" vertical="center" shrinkToFit="1"/>
    </xf>
    <xf numFmtId="183" fontId="2" fillId="0" borderId="179" xfId="0" applyNumberFormat="1" applyFont="1" applyFill="1" applyBorder="1" applyAlignment="1" applyProtection="1">
      <alignment horizontal="center" vertical="center" shrinkToFit="1"/>
    </xf>
    <xf numFmtId="0" fontId="2" fillId="0" borderId="77" xfId="0" applyFont="1" applyFill="1" applyBorder="1" applyAlignment="1" applyProtection="1">
      <alignment horizontal="center" vertical="center" shrinkToFit="1"/>
    </xf>
    <xf numFmtId="0" fontId="2" fillId="0" borderId="77" xfId="0" applyNumberFormat="1" applyFont="1" applyFill="1" applyBorder="1" applyAlignment="1" applyProtection="1">
      <alignment horizontal="center" vertical="center" shrinkToFit="1"/>
    </xf>
    <xf numFmtId="180" fontId="2" fillId="0" borderId="77" xfId="0" applyNumberFormat="1" applyFont="1" applyFill="1" applyBorder="1" applyAlignment="1" applyProtection="1">
      <alignment horizontal="center" vertical="center" shrinkToFit="1"/>
    </xf>
    <xf numFmtId="179" fontId="18" fillId="0" borderId="77" xfId="0" applyNumberFormat="1" applyFont="1" applyFill="1" applyBorder="1" applyAlignment="1" applyProtection="1">
      <alignment horizontal="center" vertical="center" shrinkToFit="1"/>
    </xf>
    <xf numFmtId="183" fontId="2" fillId="0" borderId="183" xfId="0" applyNumberFormat="1" applyFont="1" applyFill="1" applyBorder="1" applyAlignment="1" applyProtection="1">
      <alignment horizontal="center" vertical="center" shrinkToFit="1"/>
    </xf>
    <xf numFmtId="0" fontId="2" fillId="0" borderId="157" xfId="0" applyFont="1" applyFill="1" applyBorder="1" applyAlignment="1" applyProtection="1">
      <alignment horizontal="center" vertical="center" shrinkToFit="1"/>
    </xf>
    <xf numFmtId="0" fontId="2" fillId="0" borderId="157" xfId="0" applyNumberFormat="1" applyFont="1" applyFill="1" applyBorder="1" applyAlignment="1" applyProtection="1">
      <alignment horizontal="center" vertical="center" shrinkToFit="1"/>
    </xf>
    <xf numFmtId="179" fontId="18" fillId="0" borderId="146" xfId="0" applyNumberFormat="1" applyFont="1" applyFill="1" applyBorder="1" applyAlignment="1" applyProtection="1">
      <alignment horizontal="center" vertical="center" shrinkToFit="1"/>
    </xf>
    <xf numFmtId="0" fontId="40" fillId="0" borderId="14" xfId="0" applyFont="1" applyFill="1" applyBorder="1" applyAlignment="1" applyProtection="1">
      <alignment horizontal="center" vertical="center" wrapText="1"/>
      <protection hidden="1"/>
    </xf>
    <xf numFmtId="0" fontId="2" fillId="0" borderId="14" xfId="0" applyFont="1" applyFill="1" applyBorder="1" applyAlignment="1" applyProtection="1">
      <alignment horizontal="center" vertical="center" shrinkToFit="1"/>
      <protection hidden="1"/>
    </xf>
    <xf numFmtId="14" fontId="2" fillId="0" borderId="14" xfId="0" applyNumberFormat="1" applyFont="1" applyFill="1" applyBorder="1" applyAlignment="1" applyProtection="1">
      <alignment horizontal="center" vertical="center" shrinkToFit="1"/>
      <protection hidden="1"/>
    </xf>
    <xf numFmtId="0" fontId="60" fillId="0" borderId="14" xfId="0" applyFont="1" applyFill="1" applyBorder="1" applyAlignment="1" applyProtection="1">
      <alignment horizontal="center" vertical="center" wrapText="1"/>
      <protection hidden="1"/>
    </xf>
    <xf numFmtId="0" fontId="61" fillId="0" borderId="14" xfId="0" applyFont="1" applyFill="1" applyBorder="1" applyAlignment="1" applyProtection="1">
      <alignment horizontal="center" vertical="center" wrapText="1"/>
      <protection hidden="1"/>
    </xf>
    <xf numFmtId="0" fontId="62" fillId="0" borderId="14" xfId="0" applyFont="1" applyFill="1" applyBorder="1" applyAlignment="1" applyProtection="1">
      <alignment horizontal="center" vertical="center" wrapText="1"/>
      <protection hidden="1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82" fontId="7" fillId="0" borderId="32" xfId="0" applyNumberFormat="1" applyFont="1" applyFill="1" applyBorder="1" applyAlignment="1" applyProtection="1">
      <alignment vertical="center" shrinkToFit="1"/>
    </xf>
    <xf numFmtId="14" fontId="16" fillId="9" borderId="25" xfId="0" applyNumberFormat="1" applyFont="1" applyFill="1" applyBorder="1" applyAlignment="1" applyProtection="1">
      <alignment horizontal="center" vertical="center"/>
      <protection locked="0"/>
    </xf>
    <xf numFmtId="0" fontId="15" fillId="6" borderId="12" xfId="0" applyFont="1" applyFill="1" applyBorder="1" applyAlignment="1" applyProtection="1">
      <alignment horizontal="center" vertical="center" wrapText="1"/>
    </xf>
    <xf numFmtId="0" fontId="15" fillId="6" borderId="12" xfId="0" applyFont="1" applyFill="1" applyBorder="1" applyAlignment="1" applyProtection="1">
      <alignment horizontal="center" vertical="center" shrinkToFit="1"/>
    </xf>
    <xf numFmtId="14" fontId="16" fillId="9" borderId="32" xfId="0" applyNumberFormat="1" applyFont="1" applyFill="1" applyBorder="1" applyAlignment="1" applyProtection="1">
      <alignment horizontal="center" vertical="center"/>
      <protection locked="0"/>
    </xf>
    <xf numFmtId="0" fontId="13" fillId="0" borderId="185" xfId="0" applyFont="1" applyBorder="1" applyAlignment="1" applyProtection="1">
      <alignment horizontal="center" vertical="center"/>
    </xf>
    <xf numFmtId="0" fontId="13" fillId="0" borderId="186" xfId="0" applyFont="1" applyBorder="1" applyAlignment="1" applyProtection="1">
      <alignment horizontal="center" vertical="center"/>
    </xf>
    <xf numFmtId="0" fontId="13" fillId="0" borderId="187" xfId="0" applyFont="1" applyBorder="1" applyAlignment="1" applyProtection="1">
      <alignment horizontal="center" vertical="center"/>
    </xf>
    <xf numFmtId="0" fontId="63" fillId="0" borderId="167" xfId="0" applyFont="1" applyFill="1" applyBorder="1" applyAlignment="1" applyProtection="1">
      <alignment horizontal="center" vertical="center" wrapText="1"/>
      <protection hidden="1"/>
    </xf>
    <xf numFmtId="0" fontId="5" fillId="5" borderId="0" xfId="0" applyFont="1" applyFill="1" applyProtection="1">
      <alignment vertical="center"/>
    </xf>
    <xf numFmtId="0" fontId="45" fillId="5" borderId="0" xfId="0" applyFont="1" applyFill="1" applyProtection="1">
      <alignment vertical="center"/>
    </xf>
    <xf numFmtId="0" fontId="5" fillId="5" borderId="0" xfId="0" applyFont="1" applyFill="1" applyAlignment="1" applyProtection="1">
      <alignment horizontal="center" vertical="center"/>
    </xf>
    <xf numFmtId="0" fontId="6" fillId="5" borderId="0" xfId="0" applyFont="1" applyFill="1" applyAlignment="1" applyProtection="1">
      <alignment horizontal="center" vertical="center" shrinkToFit="1"/>
    </xf>
    <xf numFmtId="0" fontId="41" fillId="0" borderId="0" xfId="0" applyFont="1" applyProtection="1">
      <alignment vertical="center"/>
      <protection locked="0"/>
    </xf>
    <xf numFmtId="0" fontId="5" fillId="0" borderId="12" xfId="0" applyFont="1" applyFill="1" applyBorder="1" applyAlignment="1" applyProtection="1">
      <alignment horizontal="right" vertical="center"/>
    </xf>
    <xf numFmtId="0" fontId="7" fillId="9" borderId="32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32" xfId="0" applyFont="1" applyFill="1" applyBorder="1" applyAlignment="1" applyProtection="1">
      <alignment horizontal="center" vertical="center" shrinkToFit="1"/>
    </xf>
    <xf numFmtId="0" fontId="2" fillId="0" borderId="32" xfId="0" applyNumberFormat="1" applyFont="1" applyFill="1" applyBorder="1" applyAlignment="1" applyProtection="1">
      <alignment horizontal="center" vertical="center" shrinkToFit="1"/>
    </xf>
    <xf numFmtId="180" fontId="2" fillId="0" borderId="32" xfId="0" applyNumberFormat="1" applyFont="1" applyFill="1" applyBorder="1" applyAlignment="1" applyProtection="1">
      <alignment horizontal="center" vertical="center" shrinkToFit="1"/>
    </xf>
    <xf numFmtId="182" fontId="7" fillId="0" borderId="25" xfId="0" applyNumberFormat="1" applyFont="1" applyFill="1" applyBorder="1" applyAlignment="1" applyProtection="1">
      <alignment horizontal="center" vertical="center" shrinkToFit="1"/>
    </xf>
    <xf numFmtId="182" fontId="7" fillId="0" borderId="32" xfId="0" applyNumberFormat="1" applyFont="1" applyFill="1" applyBorder="1" applyAlignment="1" applyProtection="1">
      <alignment horizontal="center" vertical="center" shrinkToFit="1"/>
    </xf>
    <xf numFmtId="182" fontId="7" fillId="0" borderId="13" xfId="0" applyNumberFormat="1" applyFont="1" applyFill="1" applyBorder="1" applyAlignment="1" applyProtection="1">
      <alignment horizontal="center" vertical="center" shrinkToFit="1"/>
    </xf>
    <xf numFmtId="180" fontId="13" fillId="0" borderId="30" xfId="0" applyNumberFormat="1" applyFont="1" applyFill="1" applyBorder="1" applyAlignment="1" applyProtection="1">
      <alignment horizontal="center" vertical="center"/>
    </xf>
    <xf numFmtId="179" fontId="5" fillId="0" borderId="19" xfId="0" applyNumberFormat="1" applyFont="1" applyBorder="1" applyAlignment="1" applyProtection="1">
      <alignment horizontal="center" vertical="center"/>
    </xf>
    <xf numFmtId="179" fontId="5" fillId="0" borderId="26" xfId="0" applyNumberFormat="1" applyFont="1" applyBorder="1" applyAlignment="1" applyProtection="1">
      <alignment horizontal="center" vertical="center"/>
    </xf>
    <xf numFmtId="0" fontId="9" fillId="0" borderId="24" xfId="0" applyFont="1" applyFill="1" applyBorder="1" applyAlignment="1" applyProtection="1">
      <alignment horizontal="center" vertical="center" wrapText="1"/>
    </xf>
    <xf numFmtId="0" fontId="9" fillId="0" borderId="30" xfId="0" applyFont="1" applyFill="1" applyBorder="1" applyAlignment="1" applyProtection="1">
      <alignment horizontal="center" vertical="center" wrapText="1"/>
    </xf>
    <xf numFmtId="0" fontId="9" fillId="0" borderId="23" xfId="0" applyFont="1" applyFill="1" applyBorder="1" applyAlignment="1" applyProtection="1">
      <alignment horizontal="center" vertical="center" wrapText="1"/>
    </xf>
    <xf numFmtId="0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184" fontId="5" fillId="0" borderId="39" xfId="0" applyNumberFormat="1" applyFont="1" applyBorder="1" applyAlignment="1" applyProtection="1">
      <alignment horizontal="center" vertical="center"/>
    </xf>
    <xf numFmtId="184" fontId="5" fillId="0" borderId="33" xfId="0" applyNumberFormat="1" applyFont="1" applyBorder="1" applyAlignment="1" applyProtection="1">
      <alignment horizontal="center" vertical="center"/>
    </xf>
    <xf numFmtId="184" fontId="5" fillId="0" borderId="36" xfId="0" applyNumberFormat="1" applyFont="1" applyBorder="1" applyAlignment="1" applyProtection="1">
      <alignment horizontal="center" vertical="center"/>
    </xf>
    <xf numFmtId="184" fontId="7" fillId="0" borderId="25" xfId="0" applyNumberFormat="1" applyFont="1" applyFill="1" applyBorder="1" applyAlignment="1" applyProtection="1">
      <alignment horizontal="center" vertical="center" wrapText="1"/>
    </xf>
    <xf numFmtId="184" fontId="7" fillId="0" borderId="35" xfId="0" applyNumberFormat="1" applyFont="1" applyFill="1" applyBorder="1" applyAlignment="1" applyProtection="1">
      <alignment horizontal="center" vertical="center" wrapText="1"/>
    </xf>
    <xf numFmtId="178" fontId="7" fillId="6" borderId="26" xfId="0" applyNumberFormat="1" applyFont="1" applyFill="1" applyBorder="1" applyAlignment="1" applyProtection="1">
      <alignment horizontal="center" vertical="center" wrapText="1"/>
    </xf>
    <xf numFmtId="178" fontId="7" fillId="6" borderId="33" xfId="0" applyNumberFormat="1" applyFont="1" applyFill="1" applyBorder="1" applyAlignment="1" applyProtection="1">
      <alignment horizontal="center" vertical="center" wrapText="1"/>
    </xf>
    <xf numFmtId="178" fontId="7" fillId="6" borderId="22" xfId="0" applyNumberFormat="1" applyFont="1" applyFill="1" applyBorder="1" applyAlignment="1" applyProtection="1">
      <alignment horizontal="center" vertical="center" wrapText="1"/>
    </xf>
    <xf numFmtId="177" fontId="5" fillId="5" borderId="56" xfId="0" applyNumberFormat="1" applyFont="1" applyFill="1" applyBorder="1" applyAlignment="1" applyProtection="1">
      <alignment horizontal="center" vertical="center"/>
    </xf>
    <xf numFmtId="177" fontId="5" fillId="5" borderId="57" xfId="0" applyNumberFormat="1" applyFont="1" applyFill="1" applyBorder="1" applyAlignment="1" applyProtection="1">
      <alignment horizontal="center" vertical="center"/>
    </xf>
    <xf numFmtId="177" fontId="5" fillId="5" borderId="58" xfId="0" applyNumberFormat="1" applyFont="1" applyFill="1" applyBorder="1" applyAlignment="1" applyProtection="1">
      <alignment horizontal="center" vertical="center"/>
    </xf>
    <xf numFmtId="177" fontId="5" fillId="5" borderId="168" xfId="0" applyNumberFormat="1" applyFont="1" applyFill="1" applyBorder="1" applyAlignment="1" applyProtection="1">
      <alignment horizontal="center" vertical="center"/>
    </xf>
    <xf numFmtId="177" fontId="5" fillId="5" borderId="169" xfId="0" applyNumberFormat="1" applyFont="1" applyFill="1" applyBorder="1" applyAlignment="1" applyProtection="1">
      <alignment horizontal="center" vertical="center"/>
    </xf>
    <xf numFmtId="177" fontId="5" fillId="5" borderId="184" xfId="0" applyNumberFormat="1" applyFont="1" applyFill="1" applyBorder="1" applyAlignment="1" applyProtection="1">
      <alignment horizontal="center" vertical="center"/>
    </xf>
    <xf numFmtId="177" fontId="5" fillId="5" borderId="25" xfId="0" applyNumberFormat="1" applyFont="1" applyFill="1" applyBorder="1" applyAlignment="1" applyProtection="1">
      <alignment horizontal="center" vertical="center"/>
    </xf>
    <xf numFmtId="177" fontId="5" fillId="5" borderId="32" xfId="0" applyNumberFormat="1" applyFont="1" applyFill="1" applyBorder="1" applyAlignment="1" applyProtection="1">
      <alignment horizontal="center" vertical="center"/>
    </xf>
    <xf numFmtId="177" fontId="5" fillId="5" borderId="13" xfId="0" applyNumberFormat="1" applyFont="1" applyFill="1" applyBorder="1" applyAlignment="1" applyProtection="1">
      <alignment horizontal="center" vertical="center"/>
    </xf>
    <xf numFmtId="0" fontId="5" fillId="5" borderId="25" xfId="0" applyFont="1" applyFill="1" applyBorder="1" applyAlignment="1" applyProtection="1">
      <alignment horizontal="center" vertical="center"/>
    </xf>
    <xf numFmtId="0" fontId="5" fillId="5" borderId="32" xfId="0" applyFont="1" applyFill="1" applyBorder="1" applyAlignment="1" applyProtection="1">
      <alignment horizontal="center" vertical="center"/>
    </xf>
    <xf numFmtId="0" fontId="5" fillId="5" borderId="13" xfId="0" applyFont="1" applyFill="1" applyBorder="1" applyAlignment="1" applyProtection="1">
      <alignment horizontal="center" vertical="center"/>
    </xf>
    <xf numFmtId="0" fontId="5" fillId="5" borderId="16" xfId="0" applyFont="1" applyFill="1" applyBorder="1" applyAlignment="1" applyProtection="1">
      <alignment horizontal="center" vertical="center"/>
    </xf>
    <xf numFmtId="0" fontId="5" fillId="5" borderId="18" xfId="0" applyFont="1" applyFill="1" applyBorder="1" applyAlignment="1" applyProtection="1">
      <alignment horizontal="center" vertical="center"/>
    </xf>
    <xf numFmtId="178" fontId="7" fillId="6" borderId="36" xfId="0" applyNumberFormat="1" applyFont="1" applyFill="1" applyBorder="1" applyAlignment="1" applyProtection="1">
      <alignment horizontal="center" vertical="center" wrapText="1"/>
    </xf>
    <xf numFmtId="178" fontId="7" fillId="6" borderId="39" xfId="0" applyNumberFormat="1" applyFont="1" applyFill="1" applyBorder="1" applyAlignment="1" applyProtection="1">
      <alignment horizontal="center" vertical="center" wrapText="1"/>
    </xf>
    <xf numFmtId="0" fontId="9" fillId="0" borderId="37" xfId="0" applyFont="1" applyBorder="1" applyAlignment="1" applyProtection="1">
      <alignment horizontal="center" vertical="center" wrapText="1"/>
    </xf>
    <xf numFmtId="0" fontId="9" fillId="0" borderId="30" xfId="0" applyFont="1" applyBorder="1" applyAlignment="1" applyProtection="1">
      <alignment horizontal="center" vertical="center" wrapText="1"/>
    </xf>
    <xf numFmtId="0" fontId="9" fillId="0" borderId="31" xfId="0" applyFont="1" applyBorder="1" applyAlignment="1" applyProtection="1">
      <alignment horizontal="center" vertical="center" wrapText="1"/>
    </xf>
    <xf numFmtId="178" fontId="7" fillId="0" borderId="26" xfId="0" applyNumberFormat="1" applyFont="1" applyFill="1" applyBorder="1" applyAlignment="1" applyProtection="1">
      <alignment horizontal="center" vertical="center" wrapText="1"/>
    </xf>
    <xf numFmtId="178" fontId="7" fillId="0" borderId="22" xfId="0" applyNumberFormat="1" applyFont="1" applyFill="1" applyBorder="1" applyAlignment="1" applyProtection="1">
      <alignment horizontal="center" vertical="center" wrapText="1"/>
    </xf>
    <xf numFmtId="0" fontId="13" fillId="5" borderId="12" xfId="0" applyNumberFormat="1" applyFont="1" applyFill="1" applyBorder="1" applyAlignment="1" applyProtection="1">
      <alignment horizontal="center" vertical="center" wrapText="1"/>
    </xf>
    <xf numFmtId="0" fontId="7" fillId="0" borderId="61" xfId="0" applyFont="1" applyFill="1" applyBorder="1" applyAlignment="1" applyProtection="1">
      <alignment horizontal="center" vertical="center" wrapText="1" shrinkToFit="1"/>
    </xf>
    <xf numFmtId="0" fontId="7" fillId="0" borderId="62" xfId="0" applyFont="1" applyFill="1" applyBorder="1" applyAlignment="1" applyProtection="1">
      <alignment horizontal="center" vertical="center" shrinkToFit="1"/>
    </xf>
    <xf numFmtId="0" fontId="7" fillId="0" borderId="75" xfId="0" applyFont="1" applyFill="1" applyBorder="1" applyAlignment="1" applyProtection="1">
      <alignment horizontal="center" vertical="center" shrinkToFit="1"/>
    </xf>
    <xf numFmtId="0" fontId="7" fillId="0" borderId="57" xfId="0" applyFont="1" applyFill="1" applyBorder="1" applyAlignment="1" applyProtection="1">
      <alignment horizontal="center" vertical="center" shrinkToFit="1"/>
    </xf>
    <xf numFmtId="0" fontId="7" fillId="0" borderId="0" xfId="0" applyFont="1" applyFill="1" applyBorder="1" applyAlignment="1" applyProtection="1">
      <alignment horizontal="center" vertical="center" shrinkToFit="1"/>
    </xf>
    <xf numFmtId="0" fontId="7" fillId="0" borderId="92" xfId="0" applyFont="1" applyFill="1" applyBorder="1" applyAlignment="1" applyProtection="1">
      <alignment horizontal="center" vertical="center" shrinkToFit="1"/>
    </xf>
    <xf numFmtId="0" fontId="7" fillId="0" borderId="66" xfId="0" applyFont="1" applyFill="1" applyBorder="1" applyAlignment="1" applyProtection="1">
      <alignment horizontal="center" vertical="center" shrinkToFit="1"/>
    </xf>
    <xf numFmtId="0" fontId="7" fillId="0" borderId="67" xfId="0" applyFont="1" applyFill="1" applyBorder="1" applyAlignment="1" applyProtection="1">
      <alignment horizontal="center" vertical="center" shrinkToFit="1"/>
    </xf>
    <xf numFmtId="0" fontId="7" fillId="0" borderId="156" xfId="0" applyFont="1" applyFill="1" applyBorder="1" applyAlignment="1" applyProtection="1">
      <alignment horizontal="center" vertical="center" shrinkToFit="1"/>
    </xf>
    <xf numFmtId="178" fontId="7" fillId="6" borderId="17" xfId="0" applyNumberFormat="1" applyFont="1" applyFill="1" applyBorder="1" applyAlignment="1" applyProtection="1">
      <alignment horizontal="center" vertical="center" wrapText="1"/>
    </xf>
    <xf numFmtId="178" fontId="7" fillId="6" borderId="19" xfId="0" applyNumberFormat="1" applyFont="1" applyFill="1" applyBorder="1" applyAlignment="1" applyProtection="1">
      <alignment horizontal="center" vertical="center" wrapText="1"/>
    </xf>
    <xf numFmtId="178" fontId="7" fillId="6" borderId="21" xfId="0" applyNumberFormat="1" applyFont="1" applyFill="1" applyBorder="1" applyAlignment="1" applyProtection="1">
      <alignment horizontal="center" vertical="center" wrapText="1"/>
    </xf>
    <xf numFmtId="49" fontId="7" fillId="9" borderId="14" xfId="0" applyNumberFormat="1" applyFont="1" applyFill="1" applyBorder="1" applyAlignment="1" applyProtection="1">
      <alignment horizontal="center" vertical="center" shrinkToFit="1"/>
      <protection locked="0"/>
    </xf>
    <xf numFmtId="178" fontId="7" fillId="0" borderId="14" xfId="0" applyNumberFormat="1" applyFont="1" applyFill="1" applyBorder="1" applyAlignment="1" applyProtection="1">
      <alignment horizontal="center" vertical="center" shrinkToFit="1"/>
    </xf>
    <xf numFmtId="187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5" fillId="0" borderId="16" xfId="0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/>
    </xf>
    <xf numFmtId="0" fontId="5" fillId="0" borderId="24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178" fontId="7" fillId="0" borderId="12" xfId="0" applyNumberFormat="1" applyFont="1" applyFill="1" applyBorder="1" applyAlignment="1" applyProtection="1">
      <alignment horizontal="center" vertical="center" shrinkToFit="1"/>
    </xf>
    <xf numFmtId="0" fontId="13" fillId="0" borderId="24" xfId="0" applyFont="1" applyBorder="1" applyAlignment="1" applyProtection="1">
      <alignment horizontal="center" vertical="center" wrapText="1"/>
    </xf>
    <xf numFmtId="0" fontId="13" fillId="0" borderId="30" xfId="0" applyFont="1" applyBorder="1" applyAlignment="1" applyProtection="1">
      <alignment horizontal="center" vertical="center" wrapText="1"/>
    </xf>
    <xf numFmtId="0" fontId="13" fillId="0" borderId="31" xfId="0" applyFont="1" applyBorder="1" applyAlignment="1" applyProtection="1">
      <alignment horizontal="center" vertical="center" wrapText="1"/>
    </xf>
    <xf numFmtId="0" fontId="13" fillId="0" borderId="37" xfId="0" applyFont="1" applyBorder="1" applyAlignment="1" applyProtection="1">
      <alignment horizontal="center" vertical="center" wrapText="1"/>
    </xf>
    <xf numFmtId="49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177" fontId="7" fillId="0" borderId="35" xfId="0" applyNumberFormat="1" applyFont="1" applyFill="1" applyBorder="1" applyAlignment="1" applyProtection="1">
      <alignment horizontal="center" vertical="center" shrinkToFit="1"/>
    </xf>
    <xf numFmtId="49" fontId="7" fillId="9" borderId="77" xfId="0" applyNumberFormat="1" applyFont="1" applyFill="1" applyBorder="1" applyAlignment="1" applyProtection="1">
      <alignment horizontal="center" vertical="center" shrinkToFit="1"/>
      <protection locked="0"/>
    </xf>
    <xf numFmtId="180" fontId="7" fillId="0" borderId="14" xfId="0" applyNumberFormat="1" applyFont="1" applyFill="1" applyBorder="1" applyAlignment="1" applyProtection="1">
      <alignment horizontal="center" vertical="center" shrinkToFit="1"/>
    </xf>
    <xf numFmtId="177" fontId="7" fillId="0" borderId="15" xfId="0" applyNumberFormat="1" applyFont="1" applyFill="1" applyBorder="1" applyAlignment="1" applyProtection="1">
      <alignment horizontal="center" vertical="center" shrinkToFit="1"/>
    </xf>
    <xf numFmtId="177" fontId="7" fillId="0" borderId="77" xfId="0" applyNumberFormat="1" applyFont="1" applyFill="1" applyBorder="1" applyAlignment="1" applyProtection="1">
      <alignment horizontal="center" vertical="center" shrinkToFit="1"/>
    </xf>
    <xf numFmtId="177" fontId="7" fillId="0" borderId="13" xfId="0" applyNumberFormat="1" applyFont="1" applyFill="1" applyBorder="1" applyAlignment="1" applyProtection="1">
      <alignment horizontal="center" vertical="center" shrinkToFit="1"/>
    </xf>
    <xf numFmtId="0" fontId="7" fillId="9" borderId="14" xfId="0" applyNumberFormat="1" applyFont="1" applyFill="1" applyBorder="1" applyAlignment="1" applyProtection="1">
      <alignment horizontal="center" vertical="center" shrinkToFit="1"/>
      <protection locked="0"/>
    </xf>
    <xf numFmtId="0" fontId="13" fillId="5" borderId="12" xfId="0" applyFont="1" applyFill="1" applyBorder="1" applyAlignment="1" applyProtection="1">
      <alignment horizontal="center" vertical="center" wrapText="1"/>
    </xf>
    <xf numFmtId="0" fontId="9" fillId="5" borderId="15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/>
      <protection locked="0"/>
    </xf>
    <xf numFmtId="0" fontId="13" fillId="0" borderId="72" xfId="0" applyFont="1" applyBorder="1" applyAlignment="1" applyProtection="1">
      <alignment horizontal="center" vertical="center"/>
    </xf>
    <xf numFmtId="0" fontId="13" fillId="0" borderId="73" xfId="0" applyFont="1" applyBorder="1" applyAlignment="1" applyProtection="1">
      <alignment horizontal="center" vertical="center"/>
    </xf>
    <xf numFmtId="0" fontId="13" fillId="0" borderId="69" xfId="0" applyFont="1" applyBorder="1" applyAlignment="1" applyProtection="1">
      <alignment horizontal="center" vertical="center"/>
    </xf>
    <xf numFmtId="0" fontId="13" fillId="0" borderId="48" xfId="0" applyFont="1" applyBorder="1" applyAlignment="1" applyProtection="1">
      <alignment horizontal="center" vertical="center"/>
    </xf>
    <xf numFmtId="49" fontId="7" fillId="9" borderId="15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25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182" fontId="7" fillId="0" borderId="15" xfId="0" applyNumberFormat="1" applyFont="1" applyFill="1" applyBorder="1" applyAlignment="1" applyProtection="1">
      <alignment horizontal="center" vertical="center" shrinkToFit="1"/>
    </xf>
    <xf numFmtId="182" fontId="7" fillId="0" borderId="12" xfId="0" applyNumberFormat="1" applyFont="1" applyFill="1" applyBorder="1" applyAlignment="1" applyProtection="1">
      <alignment horizontal="center" vertical="center" shrinkToFit="1"/>
    </xf>
    <xf numFmtId="182" fontId="7" fillId="0" borderId="14" xfId="0" applyNumberFormat="1" applyFont="1" applyFill="1" applyBorder="1" applyAlignment="1" applyProtection="1">
      <alignment horizontal="center" vertical="center" shrinkToFit="1"/>
    </xf>
    <xf numFmtId="177" fontId="7" fillId="6" borderId="29" xfId="0" applyNumberFormat="1" applyFont="1" applyFill="1" applyBorder="1" applyAlignment="1" applyProtection="1">
      <alignment horizontal="center" vertical="center" shrinkToFit="1"/>
    </xf>
    <xf numFmtId="177" fontId="7" fillId="6" borderId="71" xfId="0" applyNumberFormat="1" applyFont="1" applyFill="1" applyBorder="1" applyAlignment="1" applyProtection="1">
      <alignment horizontal="center" vertical="center" shrinkToFit="1"/>
    </xf>
    <xf numFmtId="180" fontId="7" fillId="9" borderId="25" xfId="0" applyNumberFormat="1" applyFont="1" applyFill="1" applyBorder="1" applyAlignment="1" applyProtection="1">
      <alignment horizontal="center" vertical="center" shrinkToFit="1"/>
      <protection locked="0"/>
    </xf>
    <xf numFmtId="184" fontId="5" fillId="5" borderId="25" xfId="0" applyNumberFormat="1" applyFont="1" applyFill="1" applyBorder="1" applyAlignment="1" applyProtection="1">
      <alignment horizontal="center" vertical="center"/>
    </xf>
    <xf numFmtId="184" fontId="5" fillId="5" borderId="32" xfId="0" applyNumberFormat="1" applyFont="1" applyFill="1" applyBorder="1" applyAlignment="1" applyProtection="1">
      <alignment horizontal="center" vertical="center"/>
    </xf>
    <xf numFmtId="184" fontId="5" fillId="5" borderId="13" xfId="0" applyNumberFormat="1" applyFont="1" applyFill="1" applyBorder="1" applyAlignment="1" applyProtection="1">
      <alignment horizontal="center" vertical="center"/>
    </xf>
    <xf numFmtId="177" fontId="9" fillId="5" borderId="25" xfId="0" applyNumberFormat="1" applyFont="1" applyFill="1" applyBorder="1" applyAlignment="1" applyProtection="1">
      <alignment horizontal="center" vertical="center" wrapText="1"/>
    </xf>
    <xf numFmtId="177" fontId="9" fillId="5" borderId="32" xfId="0" applyNumberFormat="1" applyFont="1" applyFill="1" applyBorder="1" applyAlignment="1" applyProtection="1">
      <alignment horizontal="center" vertical="center" wrapText="1"/>
    </xf>
    <xf numFmtId="177" fontId="9" fillId="5" borderId="32" xfId="0" applyNumberFormat="1" applyFont="1" applyFill="1" applyBorder="1" applyAlignment="1" applyProtection="1">
      <alignment horizontal="center" vertical="center"/>
    </xf>
    <xf numFmtId="177" fontId="9" fillId="5" borderId="13" xfId="0" applyNumberFormat="1" applyFont="1" applyFill="1" applyBorder="1" applyAlignment="1" applyProtection="1">
      <alignment horizontal="center" vertical="center"/>
    </xf>
    <xf numFmtId="0" fontId="39" fillId="0" borderId="0" xfId="0" applyFont="1" applyBorder="1" applyAlignment="1" applyProtection="1">
      <alignment horizontal="center" vertical="center" wrapText="1"/>
    </xf>
    <xf numFmtId="0" fontId="39" fillId="0" borderId="0" xfId="0" applyFont="1" applyBorder="1" applyAlignment="1" applyProtection="1">
      <alignment horizontal="center" vertical="center"/>
    </xf>
    <xf numFmtId="179" fontId="5" fillId="0" borderId="22" xfId="0" applyNumberFormat="1" applyFont="1" applyBorder="1" applyAlignment="1" applyProtection="1">
      <alignment horizontal="center" vertical="center"/>
    </xf>
    <xf numFmtId="0" fontId="13" fillId="5" borderId="16" xfId="0" applyFont="1" applyFill="1" applyBorder="1" applyAlignment="1" applyProtection="1">
      <alignment horizontal="center" vertical="center"/>
    </xf>
    <xf numFmtId="0" fontId="13" fillId="5" borderId="15" xfId="0" applyFont="1" applyFill="1" applyBorder="1" applyAlignment="1" applyProtection="1">
      <alignment horizontal="center" vertical="center"/>
    </xf>
    <xf numFmtId="0" fontId="13" fillId="5" borderId="17" xfId="0" applyFont="1" applyFill="1" applyBorder="1" applyAlignment="1" applyProtection="1">
      <alignment horizontal="center" vertical="center"/>
    </xf>
    <xf numFmtId="0" fontId="13" fillId="5" borderId="70" xfId="0" applyFont="1" applyFill="1" applyBorder="1" applyAlignment="1" applyProtection="1">
      <alignment horizontal="center" vertical="center"/>
    </xf>
    <xf numFmtId="0" fontId="13" fillId="5" borderId="71" xfId="0" applyFont="1" applyFill="1" applyBorder="1" applyAlignment="1" applyProtection="1">
      <alignment horizontal="center" vertical="center"/>
    </xf>
    <xf numFmtId="177" fontId="7" fillId="6" borderId="14" xfId="0" applyNumberFormat="1" applyFont="1" applyFill="1" applyBorder="1" applyAlignment="1" applyProtection="1">
      <alignment horizontal="center" vertical="center" shrinkToFit="1"/>
    </xf>
    <xf numFmtId="177" fontId="7" fillId="6" borderId="12" xfId="0" applyNumberFormat="1" applyFont="1" applyFill="1" applyBorder="1" applyAlignment="1" applyProtection="1">
      <alignment horizontal="center" vertical="center" shrinkToFit="1"/>
    </xf>
    <xf numFmtId="178" fontId="7" fillId="0" borderId="19" xfId="0" applyNumberFormat="1" applyFont="1" applyFill="1" applyBorder="1" applyAlignment="1" applyProtection="1">
      <alignment horizontal="center" vertical="center" wrapText="1"/>
    </xf>
    <xf numFmtId="186" fontId="7" fillId="0" borderId="15" xfId="0" applyNumberFormat="1" applyFont="1" applyFill="1" applyBorder="1" applyAlignment="1" applyProtection="1">
      <alignment horizontal="center" vertical="center" shrinkToFit="1"/>
    </xf>
    <xf numFmtId="186" fontId="7" fillId="0" borderId="13" xfId="0" applyNumberFormat="1" applyFont="1" applyFill="1" applyBorder="1" applyAlignment="1" applyProtection="1">
      <alignment horizontal="center" vertical="center" shrinkToFit="1"/>
    </xf>
    <xf numFmtId="186" fontId="7" fillId="0" borderId="12" xfId="0" applyNumberFormat="1" applyFont="1" applyFill="1" applyBorder="1" applyAlignment="1" applyProtection="1">
      <alignment horizontal="center" vertical="center" shrinkToFit="1"/>
    </xf>
    <xf numFmtId="186" fontId="7" fillId="0" borderId="14" xfId="0" applyNumberFormat="1" applyFont="1" applyFill="1" applyBorder="1" applyAlignment="1" applyProtection="1">
      <alignment horizontal="center" vertical="center" shrinkToFit="1"/>
    </xf>
    <xf numFmtId="177" fontId="7" fillId="0" borderId="12" xfId="0" applyNumberFormat="1" applyFont="1" applyFill="1" applyBorder="1" applyAlignment="1" applyProtection="1">
      <alignment horizontal="center" vertical="center" shrinkToFit="1"/>
    </xf>
    <xf numFmtId="177" fontId="13" fillId="5" borderId="12" xfId="0" applyNumberFormat="1" applyFont="1" applyFill="1" applyBorder="1" applyAlignment="1" applyProtection="1">
      <alignment horizontal="center" vertical="center" shrinkToFit="1"/>
    </xf>
    <xf numFmtId="177" fontId="9" fillId="5" borderId="15" xfId="0" applyNumberFormat="1" applyFont="1" applyFill="1" applyBorder="1" applyAlignment="1" applyProtection="1">
      <alignment horizontal="center" vertical="center" shrinkToFit="1"/>
    </xf>
    <xf numFmtId="0" fontId="13" fillId="5" borderId="12" xfId="0" applyNumberFormat="1" applyFont="1" applyFill="1" applyBorder="1" applyAlignment="1" applyProtection="1">
      <alignment horizontal="center" vertical="center" shrinkToFit="1"/>
    </xf>
    <xf numFmtId="0" fontId="19" fillId="12" borderId="37" xfId="0" applyFont="1" applyFill="1" applyBorder="1" applyAlignment="1" applyProtection="1">
      <alignment horizontal="center" vertical="center"/>
    </xf>
    <xf numFmtId="0" fontId="19" fillId="12" borderId="30" xfId="0" applyFont="1" applyFill="1" applyBorder="1" applyAlignment="1" applyProtection="1">
      <alignment horizontal="center" vertical="center"/>
    </xf>
    <xf numFmtId="0" fontId="19" fillId="12" borderId="31" xfId="0" applyFont="1" applyFill="1" applyBorder="1" applyAlignment="1" applyProtection="1">
      <alignment horizontal="center" vertical="center"/>
    </xf>
    <xf numFmtId="0" fontId="10" fillId="3" borderId="0" xfId="0" applyFont="1" applyFill="1" applyAlignment="1" applyProtection="1">
      <alignment horizontal="center" vertical="center"/>
    </xf>
    <xf numFmtId="0" fontId="9" fillId="0" borderId="16" xfId="0" applyFont="1" applyBorder="1" applyAlignment="1" applyProtection="1">
      <alignment horizontal="center" vertical="center" wrapText="1"/>
    </xf>
    <xf numFmtId="0" fontId="9" fillId="0" borderId="23" xfId="0" applyFont="1" applyBorder="1" applyAlignment="1" applyProtection="1">
      <alignment horizontal="center" vertical="center" wrapText="1"/>
    </xf>
    <xf numFmtId="0" fontId="9" fillId="0" borderId="18" xfId="0" applyFont="1" applyBorder="1" applyAlignment="1" applyProtection="1">
      <alignment horizontal="center" vertical="center" wrapText="1"/>
    </xf>
    <xf numFmtId="0" fontId="9" fillId="0" borderId="20" xfId="0" applyFont="1" applyBorder="1" applyAlignment="1" applyProtection="1">
      <alignment horizontal="center" vertical="center" wrapText="1"/>
    </xf>
    <xf numFmtId="0" fontId="9" fillId="5" borderId="29" xfId="0" applyFont="1" applyFill="1" applyBorder="1" applyAlignment="1" applyProtection="1">
      <alignment horizontal="center" vertical="center" wrapText="1"/>
    </xf>
    <xf numFmtId="0" fontId="9" fillId="5" borderId="71" xfId="0" applyFont="1" applyFill="1" applyBorder="1" applyAlignment="1" applyProtection="1">
      <alignment horizontal="center" vertical="center" wrapText="1"/>
    </xf>
    <xf numFmtId="0" fontId="9" fillId="5" borderId="74" xfId="0" applyFont="1" applyFill="1" applyBorder="1" applyAlignment="1" applyProtection="1">
      <alignment horizontal="center" vertical="center" wrapText="1"/>
    </xf>
    <xf numFmtId="0" fontId="9" fillId="5" borderId="75" xfId="0" applyFont="1" applyFill="1" applyBorder="1" applyAlignment="1" applyProtection="1">
      <alignment horizontal="center" vertical="center" wrapText="1"/>
    </xf>
    <xf numFmtId="0" fontId="9" fillId="5" borderId="76" xfId="0" applyFont="1" applyFill="1" applyBorder="1" applyAlignment="1" applyProtection="1">
      <alignment horizontal="center" vertical="center" wrapText="1"/>
    </xf>
    <xf numFmtId="0" fontId="9" fillId="5" borderId="55" xfId="0" applyFont="1" applyFill="1" applyBorder="1" applyAlignment="1" applyProtection="1">
      <alignment horizontal="center" vertical="center" wrapText="1"/>
    </xf>
    <xf numFmtId="0" fontId="9" fillId="5" borderId="16" xfId="0" applyFont="1" applyFill="1" applyBorder="1" applyAlignment="1" applyProtection="1">
      <alignment horizontal="center" vertical="center" wrapText="1"/>
    </xf>
    <xf numFmtId="0" fontId="9" fillId="5" borderId="18" xfId="0" applyFont="1" applyFill="1" applyBorder="1" applyAlignment="1" applyProtection="1">
      <alignment horizontal="center" vertical="center" wrapText="1"/>
    </xf>
    <xf numFmtId="0" fontId="9" fillId="5" borderId="12" xfId="0" applyFont="1" applyFill="1" applyBorder="1" applyAlignment="1" applyProtection="1">
      <alignment horizontal="center" vertical="center" wrapText="1"/>
    </xf>
    <xf numFmtId="0" fontId="6" fillId="0" borderId="16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7" fillId="0" borderId="23" xfId="0" applyFont="1" applyBorder="1" applyAlignment="1" applyProtection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</xf>
    <xf numFmtId="0" fontId="7" fillId="0" borderId="20" xfId="0" applyFont="1" applyBorder="1" applyAlignment="1" applyProtection="1">
      <alignment horizontal="center" vertical="center" wrapText="1"/>
    </xf>
    <xf numFmtId="0" fontId="12" fillId="5" borderId="16" xfId="0" applyFont="1" applyFill="1" applyBorder="1" applyAlignment="1" applyProtection="1">
      <alignment horizontal="center" vertical="center"/>
    </xf>
    <xf numFmtId="0" fontId="12" fillId="5" borderId="20" xfId="0" applyFont="1" applyFill="1" applyBorder="1" applyAlignment="1" applyProtection="1">
      <alignment horizontal="center" vertical="center"/>
    </xf>
    <xf numFmtId="0" fontId="7" fillId="0" borderId="12" xfId="0" applyFont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4" fillId="5" borderId="0" xfId="0" applyFont="1" applyFill="1" applyBorder="1" applyAlignment="1" applyProtection="1">
      <alignment horizontal="center" vertical="center"/>
    </xf>
    <xf numFmtId="0" fontId="7" fillId="9" borderId="12" xfId="0" applyFont="1" applyFill="1" applyBorder="1" applyAlignment="1" applyProtection="1">
      <alignment horizontal="center" vertical="center" wrapText="1"/>
      <protection locked="0"/>
    </xf>
    <xf numFmtId="0" fontId="5" fillId="0" borderId="12" xfId="0" applyFont="1" applyFill="1" applyBorder="1" applyAlignment="1" applyProtection="1">
      <alignment horizontal="right" vertical="center"/>
    </xf>
    <xf numFmtId="0" fontId="9" fillId="0" borderId="24" xfId="0" applyFont="1" applyBorder="1" applyAlignment="1" applyProtection="1">
      <alignment horizontal="center" vertical="center" wrapText="1"/>
    </xf>
    <xf numFmtId="179" fontId="5" fillId="0" borderId="19" xfId="0" applyNumberFormat="1" applyFont="1" applyBorder="1" applyAlignment="1" applyProtection="1">
      <alignment horizontal="center" vertical="center" shrinkToFit="1"/>
    </xf>
    <xf numFmtId="179" fontId="5" fillId="0" borderId="21" xfId="0" applyNumberFormat="1" applyFont="1" applyBorder="1" applyAlignment="1" applyProtection="1">
      <alignment horizontal="center" vertical="center" shrinkToFit="1"/>
    </xf>
    <xf numFmtId="0" fontId="6" fillId="0" borderId="23" xfId="0" applyFont="1" applyFill="1" applyBorder="1" applyAlignment="1" applyProtection="1">
      <alignment horizontal="center" vertical="center"/>
    </xf>
    <xf numFmtId="0" fontId="6" fillId="0" borderId="24" xfId="0" applyFont="1" applyFill="1" applyBorder="1" applyAlignment="1" applyProtection="1">
      <alignment horizontal="center" vertical="center"/>
    </xf>
    <xf numFmtId="0" fontId="7" fillId="0" borderId="13" xfId="0" applyFont="1" applyBorder="1" applyAlignment="1" applyProtection="1">
      <alignment horizontal="center" vertical="center" wrapText="1"/>
    </xf>
    <xf numFmtId="0" fontId="9" fillId="5" borderId="29" xfId="0" applyFont="1" applyFill="1" applyBorder="1" applyAlignment="1" applyProtection="1">
      <alignment horizontal="center" vertical="center"/>
    </xf>
    <xf numFmtId="0" fontId="9" fillId="5" borderId="71" xfId="0" applyFont="1" applyFill="1" applyBorder="1" applyAlignment="1" applyProtection="1">
      <alignment horizontal="center" vertical="center"/>
    </xf>
    <xf numFmtId="0" fontId="9" fillId="5" borderId="17" xfId="0" applyFont="1" applyFill="1" applyBorder="1" applyAlignment="1" applyProtection="1">
      <alignment horizontal="center" vertical="center" wrapText="1"/>
    </xf>
    <xf numFmtId="0" fontId="9" fillId="5" borderId="19" xfId="0" applyFont="1" applyFill="1" applyBorder="1" applyAlignment="1" applyProtection="1">
      <alignment horizontal="center" vertical="center" wrapText="1"/>
    </xf>
    <xf numFmtId="0" fontId="7" fillId="9" borderId="13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wrapText="1"/>
      <protection locked="0"/>
    </xf>
    <xf numFmtId="182" fontId="7" fillId="0" borderId="48" xfId="0" applyNumberFormat="1" applyFont="1" applyFill="1" applyBorder="1" applyAlignment="1" applyProtection="1">
      <alignment horizontal="center" vertical="center" shrinkToFit="1"/>
    </xf>
    <xf numFmtId="0" fontId="9" fillId="5" borderId="15" xfId="0" applyFont="1" applyFill="1" applyBorder="1" applyAlignment="1" applyProtection="1">
      <alignment horizontal="center" vertical="center" shrinkToFit="1"/>
    </xf>
    <xf numFmtId="0" fontId="9" fillId="5" borderId="12" xfId="0" applyFont="1" applyFill="1" applyBorder="1" applyAlignment="1" applyProtection="1">
      <alignment horizontal="center" vertical="center" shrinkToFit="1"/>
    </xf>
    <xf numFmtId="179" fontId="5" fillId="0" borderId="17" xfId="0" applyNumberFormat="1" applyFont="1" applyBorder="1" applyAlignment="1" applyProtection="1">
      <alignment horizontal="center" vertical="center"/>
    </xf>
    <xf numFmtId="179" fontId="5" fillId="0" borderId="21" xfId="0" applyNumberFormat="1" applyFont="1" applyBorder="1" applyAlignment="1" applyProtection="1">
      <alignment horizontal="center" vertical="center"/>
    </xf>
    <xf numFmtId="0" fontId="13" fillId="5" borderId="38" xfId="0" applyFont="1" applyFill="1" applyBorder="1" applyAlignment="1" applyProtection="1">
      <alignment horizontal="center" vertical="center" wrapText="1"/>
    </xf>
    <xf numFmtId="0" fontId="13" fillId="5" borderId="13" xfId="0" applyFont="1" applyFill="1" applyBorder="1" applyAlignment="1" applyProtection="1">
      <alignment horizontal="center" vertical="center" wrapText="1"/>
    </xf>
    <xf numFmtId="0" fontId="13" fillId="5" borderId="29" xfId="0" applyFont="1" applyFill="1" applyBorder="1" applyAlignment="1" applyProtection="1">
      <alignment horizontal="center" vertical="center"/>
    </xf>
    <xf numFmtId="0" fontId="13" fillId="5" borderId="78" xfId="0" applyFont="1" applyFill="1" applyBorder="1" applyAlignment="1" applyProtection="1">
      <alignment horizontal="center" vertical="center"/>
    </xf>
    <xf numFmtId="180" fontId="13" fillId="0" borderId="79" xfId="0" applyNumberFormat="1" applyFont="1" applyFill="1" applyBorder="1" applyAlignment="1" applyProtection="1">
      <alignment horizontal="center" vertical="center"/>
    </xf>
    <xf numFmtId="180" fontId="13" fillId="0" borderId="0" xfId="0" applyNumberFormat="1" applyFont="1" applyFill="1" applyBorder="1" applyAlignment="1" applyProtection="1">
      <alignment horizontal="center" vertical="center"/>
    </xf>
    <xf numFmtId="177" fontId="5" fillId="5" borderId="25" xfId="0" applyNumberFormat="1" applyFont="1" applyFill="1" applyBorder="1" applyAlignment="1" applyProtection="1">
      <alignment horizontal="center" vertical="center" wrapText="1"/>
    </xf>
    <xf numFmtId="0" fontId="5" fillId="0" borderId="23" xfId="0" applyFont="1" applyBorder="1" applyAlignment="1" applyProtection="1">
      <alignment horizontal="center" vertical="center"/>
    </xf>
    <xf numFmtId="0" fontId="5" fillId="0" borderId="30" xfId="0" applyFont="1" applyBorder="1" applyAlignment="1" applyProtection="1">
      <alignment horizontal="center" vertical="center"/>
    </xf>
    <xf numFmtId="179" fontId="5" fillId="0" borderId="33" xfId="0" applyNumberFormat="1" applyFont="1" applyBorder="1" applyAlignment="1" applyProtection="1">
      <alignment horizontal="center" vertical="center"/>
    </xf>
    <xf numFmtId="0" fontId="5" fillId="0" borderId="30" xfId="0" applyFont="1" applyBorder="1" applyAlignment="1" applyProtection="1">
      <alignment horizontal="center" vertical="center" wrapText="1"/>
    </xf>
    <xf numFmtId="0" fontId="5" fillId="0" borderId="31" xfId="0" applyFont="1" applyBorder="1" applyAlignment="1" applyProtection="1">
      <alignment horizontal="center" vertical="center" wrapText="1"/>
    </xf>
    <xf numFmtId="49" fontId="7" fillId="9" borderId="27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125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48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37" xfId="0" applyFont="1" applyFill="1" applyBorder="1" applyAlignment="1" applyProtection="1">
      <alignment horizontal="center" vertical="center" wrapText="1"/>
    </xf>
    <xf numFmtId="0" fontId="9" fillId="5" borderId="30" xfId="0" applyFont="1" applyFill="1" applyBorder="1" applyAlignment="1" applyProtection="1">
      <alignment horizontal="center" vertical="center" wrapText="1"/>
    </xf>
    <xf numFmtId="0" fontId="9" fillId="5" borderId="23" xfId="0" applyFont="1" applyFill="1" applyBorder="1" applyAlignment="1" applyProtection="1">
      <alignment horizontal="center" vertical="center" wrapText="1"/>
    </xf>
    <xf numFmtId="178" fontId="7" fillId="0" borderId="27" xfId="0" applyNumberFormat="1" applyFont="1" applyFill="1" applyBorder="1" applyAlignment="1" applyProtection="1">
      <alignment horizontal="center" vertical="center" shrinkToFit="1"/>
    </xf>
    <xf numFmtId="178" fontId="7" fillId="0" borderId="48" xfId="0" applyNumberFormat="1" applyFont="1" applyFill="1" applyBorder="1" applyAlignment="1" applyProtection="1">
      <alignment horizontal="center" vertical="center" shrinkToFit="1"/>
    </xf>
    <xf numFmtId="177" fontId="7" fillId="0" borderId="27" xfId="0" applyNumberFormat="1" applyFont="1" applyFill="1" applyBorder="1" applyAlignment="1" applyProtection="1">
      <alignment horizontal="center" vertical="center" shrinkToFit="1"/>
    </xf>
    <xf numFmtId="177" fontId="7" fillId="0" borderId="48" xfId="0" applyNumberFormat="1" applyFont="1" applyFill="1" applyBorder="1" applyAlignment="1" applyProtection="1">
      <alignment horizontal="center" vertical="center" shrinkToFit="1"/>
    </xf>
    <xf numFmtId="0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178" fontId="7" fillId="0" borderId="15" xfId="0" applyNumberFormat="1" applyFont="1" applyFill="1" applyBorder="1" applyAlignment="1" applyProtection="1">
      <alignment horizontal="center" vertical="center" shrinkToFit="1"/>
    </xf>
    <xf numFmtId="177" fontId="7" fillId="0" borderId="25" xfId="0" applyNumberFormat="1" applyFont="1" applyFill="1" applyBorder="1" applyAlignment="1" applyProtection="1">
      <alignment horizontal="center" vertical="center" shrinkToFit="1"/>
    </xf>
    <xf numFmtId="179" fontId="5" fillId="0" borderId="39" xfId="0" applyNumberFormat="1" applyFont="1" applyBorder="1" applyAlignment="1" applyProtection="1">
      <alignment horizontal="center" vertical="center"/>
    </xf>
    <xf numFmtId="179" fontId="5" fillId="0" borderId="36" xfId="0" applyNumberFormat="1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 wrapText="1"/>
    </xf>
    <xf numFmtId="184" fontId="5" fillId="0" borderId="26" xfId="0" applyNumberFormat="1" applyFont="1" applyBorder="1" applyAlignment="1" applyProtection="1">
      <alignment horizontal="center" vertical="center"/>
    </xf>
    <xf numFmtId="0" fontId="5" fillId="0" borderId="24" xfId="0" applyFont="1" applyBorder="1" applyAlignment="1" applyProtection="1">
      <alignment horizontal="center" vertical="center" shrinkToFit="1"/>
    </xf>
    <xf numFmtId="0" fontId="5" fillId="0" borderId="31" xfId="0" applyFont="1" applyBorder="1" applyAlignment="1" applyProtection="1">
      <alignment horizontal="center" vertical="center" shrinkToFit="1"/>
    </xf>
    <xf numFmtId="0" fontId="50" fillId="5" borderId="37" xfId="0" applyFont="1" applyFill="1" applyBorder="1" applyAlignment="1" applyProtection="1">
      <alignment horizontal="center" vertical="center" wrapText="1"/>
    </xf>
    <xf numFmtId="0" fontId="50" fillId="5" borderId="30" xfId="0" applyFont="1" applyFill="1" applyBorder="1" applyAlignment="1" applyProtection="1">
      <alignment horizontal="center" vertical="center" wrapText="1"/>
    </xf>
    <xf numFmtId="0" fontId="50" fillId="5" borderId="31" xfId="0" applyFont="1" applyFill="1" applyBorder="1" applyAlignment="1" applyProtection="1">
      <alignment horizontal="center" vertical="center" wrapText="1"/>
    </xf>
    <xf numFmtId="0" fontId="50" fillId="5" borderId="15" xfId="0" applyFont="1" applyFill="1" applyBorder="1" applyAlignment="1" applyProtection="1">
      <alignment horizontal="center" vertical="center" wrapText="1"/>
    </xf>
    <xf numFmtId="0" fontId="50" fillId="5" borderId="12" xfId="0" applyFont="1" applyFill="1" applyBorder="1" applyAlignment="1" applyProtection="1">
      <alignment horizontal="center" vertical="center" wrapText="1"/>
    </xf>
    <xf numFmtId="0" fontId="50" fillId="5" borderId="15" xfId="0" applyFont="1" applyFill="1" applyBorder="1" applyAlignment="1" applyProtection="1">
      <alignment horizontal="center" vertical="center" shrinkToFit="1"/>
    </xf>
    <xf numFmtId="0" fontId="50" fillId="5" borderId="12" xfId="0" applyFont="1" applyFill="1" applyBorder="1" applyAlignment="1" applyProtection="1">
      <alignment horizontal="center" vertical="center" shrinkToFit="1"/>
    </xf>
    <xf numFmtId="0" fontId="50" fillId="5" borderId="25" xfId="0" applyFont="1" applyFill="1" applyBorder="1" applyAlignment="1" applyProtection="1">
      <alignment horizontal="center" vertical="center" shrinkToFit="1"/>
    </xf>
    <xf numFmtId="0" fontId="50" fillId="5" borderId="35" xfId="0" applyFont="1" applyFill="1" applyBorder="1" applyAlignment="1" applyProtection="1">
      <alignment horizontal="center" vertical="center" shrinkToFit="1"/>
    </xf>
    <xf numFmtId="177" fontId="5" fillId="5" borderId="32" xfId="0" applyNumberFormat="1" applyFont="1" applyFill="1" applyBorder="1" applyAlignment="1" applyProtection="1">
      <alignment horizontal="center" vertical="center" wrapText="1"/>
    </xf>
    <xf numFmtId="177" fontId="5" fillId="5" borderId="35" xfId="0" applyNumberFormat="1" applyFont="1" applyFill="1" applyBorder="1" applyAlignment="1" applyProtection="1">
      <alignment horizontal="center" vertical="center"/>
    </xf>
    <xf numFmtId="177" fontId="5" fillId="5" borderId="170" xfId="0" applyNumberFormat="1" applyFont="1" applyFill="1" applyBorder="1" applyAlignment="1" applyProtection="1">
      <alignment horizontal="center" vertical="center"/>
    </xf>
    <xf numFmtId="0" fontId="50" fillId="5" borderId="17" xfId="0" applyFont="1" applyFill="1" applyBorder="1" applyAlignment="1" applyProtection="1">
      <alignment horizontal="center" vertical="center" wrapText="1"/>
    </xf>
    <xf numFmtId="0" fontId="50" fillId="5" borderId="19" xfId="0" applyFont="1" applyFill="1" applyBorder="1" applyAlignment="1" applyProtection="1">
      <alignment horizontal="center" vertical="center" wrapText="1"/>
    </xf>
    <xf numFmtId="0" fontId="46" fillId="0" borderId="0" xfId="0" applyFont="1" applyAlignment="1" applyProtection="1">
      <alignment horizontal="center" vertical="center" wrapText="1"/>
    </xf>
    <xf numFmtId="0" fontId="46" fillId="0" borderId="0" xfId="0" applyFont="1" applyAlignment="1" applyProtection="1">
      <alignment horizontal="center" vertical="center"/>
    </xf>
    <xf numFmtId="0" fontId="49" fillId="0" borderId="30" xfId="0" applyFont="1" applyBorder="1" applyAlignment="1" applyProtection="1">
      <alignment horizontal="center" vertical="center" wrapText="1"/>
    </xf>
    <xf numFmtId="0" fontId="49" fillId="0" borderId="31" xfId="0" applyFont="1" applyBorder="1" applyAlignment="1" applyProtection="1">
      <alignment horizontal="center" vertical="center" wrapText="1"/>
    </xf>
    <xf numFmtId="178" fontId="15" fillId="6" borderId="22" xfId="0" applyNumberFormat="1" applyFont="1" applyFill="1" applyBorder="1" applyAlignment="1" applyProtection="1">
      <alignment horizontal="center" vertical="center" wrapText="1"/>
    </xf>
    <xf numFmtId="178" fontId="15" fillId="6" borderId="19" xfId="0" applyNumberFormat="1" applyFont="1" applyFill="1" applyBorder="1" applyAlignment="1" applyProtection="1">
      <alignment horizontal="center" vertical="center" wrapText="1"/>
    </xf>
    <xf numFmtId="178" fontId="15" fillId="6" borderId="26" xfId="0" applyNumberFormat="1" applyFont="1" applyFill="1" applyBorder="1" applyAlignment="1" applyProtection="1">
      <alignment horizontal="center" vertical="center" wrapText="1"/>
    </xf>
    <xf numFmtId="178" fontId="15" fillId="6" borderId="21" xfId="0" applyNumberFormat="1" applyFont="1" applyFill="1" applyBorder="1" applyAlignment="1" applyProtection="1">
      <alignment horizontal="center" vertical="center" wrapText="1"/>
    </xf>
    <xf numFmtId="0" fontId="50" fillId="5" borderId="61" xfId="0" applyFont="1" applyFill="1" applyBorder="1" applyAlignment="1" applyProtection="1">
      <alignment horizontal="center" vertical="center" wrapText="1"/>
    </xf>
    <xf numFmtId="0" fontId="50" fillId="5" borderId="75" xfId="0" applyFont="1" applyFill="1" applyBorder="1" applyAlignment="1" applyProtection="1">
      <alignment horizontal="center" vertical="center" wrapText="1"/>
    </xf>
    <xf numFmtId="0" fontId="50" fillId="5" borderId="58" xfId="0" applyFont="1" applyFill="1" applyBorder="1" applyAlignment="1" applyProtection="1">
      <alignment horizontal="center" vertical="center" wrapText="1"/>
    </xf>
    <xf numFmtId="0" fontId="50" fillId="5" borderId="55" xfId="0" applyFont="1" applyFill="1" applyBorder="1" applyAlignment="1" applyProtection="1">
      <alignment horizontal="center" vertical="center" wrapText="1"/>
    </xf>
    <xf numFmtId="0" fontId="52" fillId="6" borderId="188" xfId="0" applyFont="1" applyFill="1" applyBorder="1" applyAlignment="1" applyProtection="1">
      <alignment horizontal="center" vertical="center" shrinkToFit="1"/>
      <protection hidden="1"/>
    </xf>
    <xf numFmtId="0" fontId="52" fillId="6" borderId="32" xfId="0" applyFont="1" applyFill="1" applyBorder="1" applyAlignment="1" applyProtection="1">
      <alignment horizontal="center" vertical="center" shrinkToFit="1"/>
      <protection hidden="1"/>
    </xf>
    <xf numFmtId="0" fontId="52" fillId="6" borderId="35" xfId="0" applyFont="1" applyFill="1" applyBorder="1" applyAlignment="1" applyProtection="1">
      <alignment horizontal="center" vertical="center" shrinkToFit="1"/>
      <protection hidden="1"/>
    </xf>
    <xf numFmtId="0" fontId="24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2" fillId="7" borderId="5" xfId="0" applyFont="1" applyFill="1" applyBorder="1" applyAlignment="1">
      <alignment horizontal="center" vertical="center" wrapText="1"/>
    </xf>
    <xf numFmtId="0" fontId="22" fillId="7" borderId="6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7" borderId="9" xfId="0" applyFont="1" applyFill="1" applyBorder="1" applyAlignment="1">
      <alignment horizontal="center" vertical="center" wrapText="1"/>
    </xf>
    <xf numFmtId="0" fontId="27" fillId="8" borderId="1" xfId="0" applyFont="1" applyFill="1" applyBorder="1" applyAlignment="1">
      <alignment horizontal="center" vertical="center"/>
    </xf>
    <xf numFmtId="0" fontId="27" fillId="8" borderId="1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7" fillId="8" borderId="3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59" fillId="0" borderId="0" xfId="0" applyFont="1" applyAlignment="1">
      <alignment horizontal="center" vertical="center" wrapText="1"/>
    </xf>
    <xf numFmtId="0" fontId="59" fillId="0" borderId="0" xfId="0" applyFont="1" applyAlignment="1">
      <alignment horizontal="center" vertical="center"/>
    </xf>
    <xf numFmtId="179" fontId="20" fillId="0" borderId="12" xfId="0" quotePrefix="1" applyNumberFormat="1" applyFont="1" applyFill="1" applyBorder="1" applyAlignment="1">
      <alignment horizontal="center" vertical="center" wrapText="1"/>
    </xf>
    <xf numFmtId="179" fontId="20" fillId="0" borderId="12" xfId="0" applyNumberFormat="1" applyFont="1" applyFill="1" applyBorder="1" applyAlignment="1">
      <alignment horizontal="center" vertical="center" wrapText="1"/>
    </xf>
    <xf numFmtId="0" fontId="32" fillId="0" borderId="43" xfId="0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 wrapText="1"/>
    </xf>
    <xf numFmtId="178" fontId="32" fillId="0" borderId="44" xfId="0" applyNumberFormat="1" applyFont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32" fillId="0" borderId="49" xfId="0" applyFont="1" applyFill="1" applyBorder="1" applyAlignment="1">
      <alignment horizontal="center" vertical="center" wrapText="1"/>
    </xf>
    <xf numFmtId="0" fontId="32" fillId="0" borderId="50" xfId="0" applyFont="1" applyFill="1" applyBorder="1" applyAlignment="1">
      <alignment horizontal="center" vertical="center" wrapText="1"/>
    </xf>
    <xf numFmtId="0" fontId="32" fillId="0" borderId="51" xfId="0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2" borderId="43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20" fillId="5" borderId="12" xfId="0" applyFont="1" applyFill="1" applyBorder="1" applyAlignment="1">
      <alignment horizontal="center" vertical="center" wrapText="1"/>
    </xf>
    <xf numFmtId="0" fontId="32" fillId="10" borderId="40" xfId="0" applyFont="1" applyFill="1" applyBorder="1" applyAlignment="1">
      <alignment horizontal="justify" vertical="center" wrapText="1"/>
    </xf>
    <xf numFmtId="0" fontId="32" fillId="10" borderId="41" xfId="0" applyFont="1" applyFill="1" applyBorder="1" applyAlignment="1">
      <alignment horizontal="justify" vertical="center" wrapText="1"/>
    </xf>
    <xf numFmtId="0" fontId="32" fillId="10" borderId="42" xfId="0" applyFont="1" applyFill="1" applyBorder="1" applyAlignment="1">
      <alignment horizontal="justify" vertical="center" wrapText="1"/>
    </xf>
    <xf numFmtId="0" fontId="32" fillId="0" borderId="80" xfId="0" applyFont="1" applyBorder="1" applyAlignment="1">
      <alignment horizontal="center" vertical="center" wrapText="1"/>
    </xf>
    <xf numFmtId="0" fontId="32" fillId="0" borderId="81" xfId="0" applyFont="1" applyBorder="1" applyAlignment="1">
      <alignment horizontal="center" vertical="center" wrapText="1"/>
    </xf>
    <xf numFmtId="0" fontId="32" fillId="0" borderId="90" xfId="0" quotePrefix="1" applyFont="1" applyBorder="1" applyAlignment="1">
      <alignment horizontal="center" vertical="center" wrapText="1"/>
    </xf>
    <xf numFmtId="0" fontId="32" fillId="0" borderId="90" xfId="0" applyFont="1" applyBorder="1" applyAlignment="1">
      <alignment horizontal="center" vertical="center" wrapText="1"/>
    </xf>
    <xf numFmtId="0" fontId="32" fillId="0" borderId="91" xfId="0" applyFont="1" applyBorder="1" applyAlignment="1">
      <alignment horizontal="center" vertical="center" wrapText="1"/>
    </xf>
    <xf numFmtId="0" fontId="20" fillId="0" borderId="46" xfId="0" applyFont="1" applyFill="1" applyBorder="1" applyAlignment="1">
      <alignment horizontal="center" vertical="center" wrapText="1"/>
    </xf>
    <xf numFmtId="0" fontId="20" fillId="0" borderId="25" xfId="0" quotePrefix="1" applyFont="1" applyFill="1" applyBorder="1" applyAlignment="1">
      <alignment horizontal="center" vertical="center" wrapText="1"/>
    </xf>
    <xf numFmtId="0" fontId="20" fillId="0" borderId="25" xfId="0" applyFont="1" applyFill="1" applyBorder="1" applyAlignment="1">
      <alignment horizontal="center" vertical="center" wrapText="1"/>
    </xf>
    <xf numFmtId="0" fontId="20" fillId="0" borderId="12" xfId="0" quotePrefix="1" applyFont="1" applyFill="1" applyBorder="1" applyAlignment="1">
      <alignment horizontal="center" vertical="center" wrapText="1"/>
    </xf>
    <xf numFmtId="0" fontId="32" fillId="0" borderId="89" xfId="0" applyFont="1" applyFill="1" applyBorder="1" applyAlignment="1">
      <alignment horizontal="center" vertical="center" wrapText="1"/>
    </xf>
    <xf numFmtId="0" fontId="32" fillId="0" borderId="52" xfId="0" applyFont="1" applyFill="1" applyBorder="1" applyAlignment="1">
      <alignment horizontal="center" vertical="center" wrapText="1"/>
    </xf>
    <xf numFmtId="0" fontId="32" fillId="0" borderId="88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178" fontId="32" fillId="0" borderId="53" xfId="0" applyNumberFormat="1" applyFont="1" applyBorder="1" applyAlignment="1">
      <alignment horizontal="center" vertical="center" wrapText="1"/>
    </xf>
    <xf numFmtId="178" fontId="32" fillId="0" borderId="86" xfId="0" applyNumberFormat="1" applyFont="1" applyBorder="1" applyAlignment="1">
      <alignment horizontal="center" vertical="center" wrapText="1"/>
    </xf>
    <xf numFmtId="0" fontId="20" fillId="2" borderId="44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67" fillId="0" borderId="178" xfId="0" applyFont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" fillId="10" borderId="40" xfId="0" applyFont="1" applyFill="1" applyBorder="1" applyAlignment="1">
      <alignment horizontal="justify" vertical="center" wrapText="1"/>
    </xf>
    <xf numFmtId="0" fontId="1" fillId="10" borderId="41" xfId="0" applyFont="1" applyFill="1" applyBorder="1" applyAlignment="1">
      <alignment horizontal="justify" vertical="center" wrapText="1"/>
    </xf>
    <xf numFmtId="0" fontId="1" fillId="10" borderId="42" xfId="0" applyFont="1" applyFill="1" applyBorder="1" applyAlignment="1">
      <alignment horizontal="justify" vertical="center" wrapText="1"/>
    </xf>
    <xf numFmtId="0" fontId="2" fillId="0" borderId="46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80" xfId="0" applyFont="1" applyBorder="1" applyAlignment="1">
      <alignment horizontal="center" vertical="center" wrapText="1"/>
    </xf>
    <xf numFmtId="0" fontId="1" fillId="0" borderId="81" xfId="0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shrinkToFit="1"/>
    </xf>
    <xf numFmtId="178" fontId="2" fillId="0" borderId="44" xfId="0" applyNumberFormat="1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178" fontId="1" fillId="0" borderId="42" xfId="0" applyNumberFormat="1" applyFont="1" applyBorder="1" applyAlignment="1">
      <alignment horizontal="center" vertical="center" shrinkToFit="1"/>
    </xf>
    <xf numFmtId="178" fontId="1" fillId="0" borderId="47" xfId="0" applyNumberFormat="1" applyFont="1" applyBorder="1" applyAlignment="1">
      <alignment horizontal="center" vertical="center" shrinkToFit="1"/>
    </xf>
    <xf numFmtId="0" fontId="1" fillId="0" borderId="40" xfId="0" applyFont="1" applyBorder="1" applyAlignment="1">
      <alignment horizontal="left" vertical="center" wrapText="1"/>
    </xf>
    <xf numFmtId="0" fontId="1" fillId="0" borderId="41" xfId="0" applyFont="1" applyBorder="1" applyAlignment="1">
      <alignment horizontal="left" vertical="center" wrapText="1"/>
    </xf>
    <xf numFmtId="0" fontId="1" fillId="0" borderId="45" xfId="0" applyFont="1" applyBorder="1" applyAlignment="1">
      <alignment horizontal="left" vertical="center" wrapText="1"/>
    </xf>
    <xf numFmtId="0" fontId="1" fillId="0" borderId="46" xfId="0" applyFont="1" applyBorder="1" applyAlignment="1">
      <alignment horizontal="left" vertical="center" wrapText="1"/>
    </xf>
    <xf numFmtId="0" fontId="2" fillId="0" borderId="93" xfId="0" applyFont="1" applyBorder="1" applyAlignment="1">
      <alignment horizontal="center" vertical="center" shrinkToFit="1"/>
    </xf>
    <xf numFmtId="0" fontId="2" fillId="0" borderId="126" xfId="0" applyFont="1" applyBorder="1" applyAlignment="1">
      <alignment horizontal="center" vertical="center" shrinkToFit="1"/>
    </xf>
    <xf numFmtId="0" fontId="2" fillId="0" borderId="127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2" fillId="0" borderId="125" xfId="0" applyFont="1" applyBorder="1" applyAlignment="1">
      <alignment horizontal="center" vertical="center" shrinkToFit="1"/>
    </xf>
    <xf numFmtId="0" fontId="2" fillId="0" borderId="48" xfId="0" applyFont="1" applyBorder="1" applyAlignment="1">
      <alignment horizontal="center" vertical="center" shrinkToFit="1"/>
    </xf>
    <xf numFmtId="0" fontId="2" fillId="2" borderId="44" xfId="0" applyFont="1" applyFill="1" applyBorder="1" applyAlignment="1">
      <alignment horizontal="center" vertical="center" wrapText="1"/>
    </xf>
    <xf numFmtId="0" fontId="2" fillId="0" borderId="137" xfId="0" applyFont="1" applyBorder="1" applyAlignment="1">
      <alignment horizontal="center" vertical="center" shrinkToFit="1"/>
    </xf>
    <xf numFmtId="0" fontId="2" fillId="0" borderId="134" xfId="0" applyFont="1" applyBorder="1" applyAlignment="1">
      <alignment horizontal="center" vertical="center" shrinkToFit="1"/>
    </xf>
    <xf numFmtId="14" fontId="2" fillId="0" borderId="93" xfId="0" applyNumberFormat="1" applyFont="1" applyBorder="1" applyAlignment="1">
      <alignment horizontal="center" vertical="center" shrinkToFit="1"/>
    </xf>
    <xf numFmtId="14" fontId="2" fillId="0" borderId="27" xfId="0" applyNumberFormat="1" applyFont="1" applyBorder="1" applyAlignment="1">
      <alignment horizontal="center" vertical="center" shrinkToFit="1"/>
    </xf>
    <xf numFmtId="0" fontId="1" fillId="10" borderId="83" xfId="0" applyFont="1" applyFill="1" applyBorder="1" applyAlignment="1">
      <alignment horizontal="left" vertical="center" wrapText="1"/>
    </xf>
    <xf numFmtId="0" fontId="1" fillId="10" borderId="84" xfId="0" applyFont="1" applyFill="1" applyBorder="1" applyAlignment="1">
      <alignment horizontal="left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67" fillId="0" borderId="178" xfId="0" applyFont="1" applyBorder="1" applyAlignment="1" applyProtection="1">
      <alignment horizontal="center" vertical="center"/>
    </xf>
    <xf numFmtId="0" fontId="1" fillId="10" borderId="83" xfId="0" applyFont="1" applyFill="1" applyBorder="1" applyAlignment="1" applyProtection="1">
      <alignment horizontal="left" vertical="center" wrapText="1"/>
    </xf>
    <xf numFmtId="0" fontId="1" fillId="10" borderId="84" xfId="0" applyFont="1" applyFill="1" applyBorder="1" applyAlignment="1" applyProtection="1">
      <alignment horizontal="left" vertical="center" wrapText="1"/>
    </xf>
    <xf numFmtId="0" fontId="1" fillId="10" borderId="85" xfId="0" applyFont="1" applyFill="1" applyBorder="1" applyAlignment="1" applyProtection="1">
      <alignment horizontal="left" vertical="center" wrapText="1"/>
    </xf>
    <xf numFmtId="0" fontId="20" fillId="5" borderId="53" xfId="0" applyFont="1" applyFill="1" applyBorder="1" applyAlignment="1" applyProtection="1">
      <alignment horizontal="center" vertical="center" wrapText="1"/>
    </xf>
    <xf numFmtId="0" fontId="20" fillId="5" borderId="174" xfId="0" applyFont="1" applyFill="1" applyBorder="1" applyAlignment="1" applyProtection="1">
      <alignment horizontal="center" vertical="center" wrapText="1"/>
    </xf>
    <xf numFmtId="0" fontId="1" fillId="0" borderId="135" xfId="0" applyFont="1" applyBorder="1" applyAlignment="1" applyProtection="1">
      <alignment horizontal="left" vertical="center" wrapText="1"/>
    </xf>
    <xf numFmtId="0" fontId="1" fillId="0" borderId="178" xfId="0" applyFont="1" applyBorder="1" applyAlignment="1" applyProtection="1">
      <alignment horizontal="left" vertical="center" wrapText="1"/>
    </xf>
    <xf numFmtId="0" fontId="1" fillId="0" borderId="136" xfId="0" applyFont="1" applyBorder="1" applyAlignment="1" applyProtection="1">
      <alignment horizontal="left" vertical="center" wrapText="1"/>
    </xf>
    <xf numFmtId="0" fontId="2" fillId="2" borderId="43" xfId="0" applyFont="1" applyFill="1" applyBorder="1" applyAlignment="1" applyProtection="1">
      <alignment horizontal="center" vertical="center" wrapText="1"/>
    </xf>
    <xf numFmtId="0" fontId="2" fillId="2" borderId="48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1" fillId="10" borderId="97" xfId="0" applyFont="1" applyFill="1" applyBorder="1" applyAlignment="1" applyProtection="1">
      <alignment horizontal="left" vertical="center" wrapText="1"/>
    </xf>
    <xf numFmtId="0" fontId="1" fillId="10" borderId="94" xfId="0" applyFont="1" applyFill="1" applyBorder="1" applyAlignment="1" applyProtection="1">
      <alignment horizontal="left" vertical="center" wrapText="1"/>
    </xf>
    <xf numFmtId="0" fontId="1" fillId="10" borderId="98" xfId="0" applyFont="1" applyFill="1" applyBorder="1" applyAlignment="1" applyProtection="1">
      <alignment horizontal="left" vertical="center" wrapText="1"/>
    </xf>
    <xf numFmtId="0" fontId="2" fillId="2" borderId="27" xfId="0" applyFont="1" applyFill="1" applyBorder="1" applyAlignment="1" applyProtection="1">
      <alignment horizontal="center" vertical="center" wrapText="1"/>
    </xf>
    <xf numFmtId="0" fontId="2" fillId="2" borderId="99" xfId="0" applyFont="1" applyFill="1" applyBorder="1" applyAlignment="1" applyProtection="1">
      <alignment horizontal="center" vertical="center" wrapText="1"/>
    </xf>
    <xf numFmtId="0" fontId="2" fillId="0" borderId="45" xfId="0" applyFont="1" applyBorder="1" applyAlignment="1" applyProtection="1">
      <alignment horizontal="center" vertical="center" wrapText="1"/>
    </xf>
    <xf numFmtId="0" fontId="2" fillId="0" borderId="127" xfId="0" applyFont="1" applyBorder="1" applyAlignment="1" applyProtection="1">
      <alignment horizontal="center" vertical="center" wrapText="1"/>
    </xf>
    <xf numFmtId="0" fontId="2" fillId="0" borderId="46" xfId="0" applyFont="1" applyBorder="1" applyAlignment="1" applyProtection="1">
      <alignment horizontal="center" vertical="center" wrapText="1"/>
    </xf>
    <xf numFmtId="0" fontId="2" fillId="0" borderId="93" xfId="0" applyFont="1" applyBorder="1" applyAlignment="1" applyProtection="1">
      <alignment horizontal="center" vertical="center" wrapText="1"/>
    </xf>
    <xf numFmtId="0" fontId="2" fillId="0" borderId="100" xfId="0" applyFont="1" applyBorder="1" applyAlignment="1" applyProtection="1">
      <alignment horizontal="center" vertical="center" wrapText="1"/>
    </xf>
    <xf numFmtId="0" fontId="20" fillId="5" borderId="12" xfId="0" applyFont="1" applyFill="1" applyBorder="1" applyAlignment="1" applyProtection="1">
      <alignment horizontal="center" vertical="center" wrapText="1"/>
    </xf>
    <xf numFmtId="0" fontId="20" fillId="5" borderId="14" xfId="0" applyFont="1" applyFill="1" applyBorder="1" applyAlignment="1" applyProtection="1">
      <alignment horizontal="center" vertical="center" wrapText="1"/>
    </xf>
    <xf numFmtId="0" fontId="2" fillId="0" borderId="27" xfId="0" applyFont="1" applyBorder="1" applyAlignment="1" applyProtection="1">
      <alignment horizontal="center" vertical="center" wrapText="1"/>
    </xf>
    <xf numFmtId="0" fontId="2" fillId="0" borderId="9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2" borderId="134" xfId="0" applyFont="1" applyFill="1" applyBorder="1" applyAlignment="1" applyProtection="1">
      <alignment horizontal="center" vertical="center" wrapText="1"/>
    </xf>
    <xf numFmtId="0" fontId="2" fillId="0" borderId="134" xfId="0" applyFont="1" applyBorder="1" applyAlignment="1" applyProtection="1">
      <alignment horizontal="center" vertical="center" wrapText="1"/>
    </xf>
    <xf numFmtId="0" fontId="2" fillId="0" borderId="48" xfId="0" applyFont="1" applyBorder="1" applyAlignment="1" applyProtection="1">
      <alignment horizontal="center" vertical="center" wrapText="1"/>
    </xf>
    <xf numFmtId="0" fontId="2" fillId="0" borderId="137" xfId="0" applyFont="1" applyBorder="1" applyAlignment="1" applyProtection="1">
      <alignment horizontal="center" vertical="center" wrapText="1"/>
    </xf>
    <xf numFmtId="0" fontId="20" fillId="0" borderId="89" xfId="0" applyFont="1" applyBorder="1" applyAlignment="1" applyProtection="1">
      <alignment horizontal="center" vertical="center" wrapText="1"/>
    </xf>
    <xf numFmtId="0" fontId="20" fillId="0" borderId="133" xfId="0" applyFont="1" applyBorder="1" applyAlignment="1" applyProtection="1">
      <alignment horizontal="center" vertical="center" wrapText="1"/>
    </xf>
    <xf numFmtId="0" fontId="20" fillId="0" borderId="88" xfId="0" applyFont="1" applyBorder="1" applyAlignment="1" applyProtection="1">
      <alignment horizontal="center" vertical="center" wrapText="1"/>
    </xf>
    <xf numFmtId="0" fontId="20" fillId="0" borderId="92" xfId="0" applyFont="1" applyBorder="1" applyAlignment="1" applyProtection="1">
      <alignment horizontal="center" vertical="center" wrapText="1"/>
    </xf>
    <xf numFmtId="0" fontId="20" fillId="0" borderId="95" xfId="0" applyFont="1" applyBorder="1" applyAlignment="1" applyProtection="1">
      <alignment horizontal="center" vertical="center" wrapText="1"/>
    </xf>
    <xf numFmtId="0" fontId="20" fillId="0" borderId="55" xfId="0" applyFont="1" applyBorder="1" applyAlignment="1" applyProtection="1">
      <alignment horizontal="center" vertical="center" wrapText="1"/>
    </xf>
    <xf numFmtId="0" fontId="20" fillId="0" borderId="177" xfId="0" applyFont="1" applyBorder="1" applyAlignment="1" applyProtection="1">
      <alignment horizontal="center" vertical="center" wrapText="1"/>
    </xf>
    <xf numFmtId="0" fontId="20" fillId="0" borderId="75" xfId="0" applyFont="1" applyBorder="1" applyAlignment="1" applyProtection="1">
      <alignment horizontal="center" vertical="center" wrapText="1"/>
    </xf>
    <xf numFmtId="0" fontId="20" fillId="0" borderId="173" xfId="0" applyFont="1" applyBorder="1" applyAlignment="1" applyProtection="1">
      <alignment horizontal="center" vertical="center" wrapText="1"/>
    </xf>
    <xf numFmtId="0" fontId="20" fillId="0" borderId="156" xfId="0" applyFont="1" applyBorder="1" applyAlignment="1" applyProtection="1">
      <alignment horizontal="center" vertical="center" wrapText="1"/>
    </xf>
    <xf numFmtId="178" fontId="2" fillId="0" borderId="86" xfId="0" applyNumberFormat="1" applyFont="1" applyFill="1" applyBorder="1" applyAlignment="1" applyProtection="1">
      <alignment horizontal="center" vertical="center" shrinkToFit="1"/>
    </xf>
    <xf numFmtId="178" fontId="2" fillId="0" borderId="174" xfId="0" applyNumberFormat="1" applyFont="1" applyFill="1" applyBorder="1" applyAlignment="1" applyProtection="1">
      <alignment horizontal="center" vertical="center" shrinkToFit="1"/>
    </xf>
    <xf numFmtId="0" fontId="20" fillId="5" borderId="89" xfId="0" applyFont="1" applyFill="1" applyBorder="1" applyAlignment="1" applyProtection="1">
      <alignment horizontal="center" vertical="center" wrapText="1"/>
    </xf>
    <xf numFmtId="0" fontId="20" fillId="5" borderId="133" xfId="0" applyFont="1" applyFill="1" applyBorder="1" applyAlignment="1" applyProtection="1">
      <alignment horizontal="center" vertical="center" wrapText="1"/>
    </xf>
    <xf numFmtId="0" fontId="20" fillId="5" borderId="173" xfId="0" applyFont="1" applyFill="1" applyBorder="1" applyAlignment="1" applyProtection="1">
      <alignment horizontal="center" vertical="center" wrapText="1"/>
    </xf>
    <xf numFmtId="0" fontId="20" fillId="5" borderId="156" xfId="0" applyFont="1" applyFill="1" applyBorder="1" applyAlignment="1" applyProtection="1">
      <alignment horizontal="center" vertical="center" wrapText="1"/>
    </xf>
    <xf numFmtId="0" fontId="20" fillId="0" borderId="88" xfId="0" applyFont="1" applyFill="1" applyBorder="1" applyAlignment="1" applyProtection="1">
      <alignment horizontal="center" vertical="center" wrapText="1"/>
    </xf>
    <xf numFmtId="0" fontId="20" fillId="0" borderId="92" xfId="0" applyFont="1" applyFill="1" applyBorder="1" applyAlignment="1" applyProtection="1">
      <alignment horizontal="center" vertical="center" wrapText="1"/>
    </xf>
    <xf numFmtId="0" fontId="20" fillId="0" borderId="95" xfId="0" applyFont="1" applyFill="1" applyBorder="1" applyAlignment="1" applyProtection="1">
      <alignment horizontal="center" vertical="center" wrapText="1"/>
    </xf>
    <xf numFmtId="0" fontId="20" fillId="0" borderId="55" xfId="0" applyFont="1" applyFill="1" applyBorder="1" applyAlignment="1" applyProtection="1">
      <alignment horizontal="center" vertical="center" wrapText="1"/>
    </xf>
    <xf numFmtId="178" fontId="2" fillId="0" borderId="32" xfId="0" applyNumberFormat="1" applyFont="1" applyFill="1" applyBorder="1" applyAlignment="1" applyProtection="1">
      <alignment horizontal="center" vertical="center" shrinkToFit="1"/>
    </xf>
    <xf numFmtId="178" fontId="2" fillId="0" borderId="13" xfId="0" applyNumberFormat="1" applyFont="1" applyFill="1" applyBorder="1" applyAlignment="1" applyProtection="1">
      <alignment horizontal="center" vertical="center" shrinkToFit="1"/>
    </xf>
    <xf numFmtId="178" fontId="2" fillId="0" borderId="150" xfId="0" applyNumberFormat="1" applyFont="1" applyFill="1" applyBorder="1" applyAlignment="1" applyProtection="1">
      <alignment horizontal="center" vertical="center" shrinkToFit="1"/>
    </xf>
    <xf numFmtId="178" fontId="2" fillId="0" borderId="38" xfId="0" applyNumberFormat="1" applyFont="1" applyFill="1" applyBorder="1" applyAlignment="1" applyProtection="1">
      <alignment horizontal="center" vertical="center" shrinkToFit="1"/>
    </xf>
    <xf numFmtId="178" fontId="2" fillId="0" borderId="35" xfId="0" applyNumberFormat="1" applyFont="1" applyFill="1" applyBorder="1" applyAlignment="1" applyProtection="1">
      <alignment horizontal="center" vertical="center" shrinkToFit="1"/>
    </xf>
    <xf numFmtId="178" fontId="2" fillId="0" borderId="25" xfId="0" applyNumberFormat="1" applyFont="1" applyFill="1" applyBorder="1" applyAlignment="1" applyProtection="1">
      <alignment horizontal="center" vertical="center" shrinkToFit="1"/>
    </xf>
    <xf numFmtId="0" fontId="20" fillId="0" borderId="175" xfId="0" applyFont="1" applyFill="1" applyBorder="1" applyAlignment="1" applyProtection="1">
      <alignment horizontal="center" vertical="center" wrapText="1"/>
    </xf>
    <xf numFmtId="0" fontId="20" fillId="0" borderId="71" xfId="0" applyFont="1" applyFill="1" applyBorder="1" applyAlignment="1" applyProtection="1">
      <alignment horizontal="center" vertical="center" wrapText="1"/>
    </xf>
    <xf numFmtId="0" fontId="20" fillId="0" borderId="89" xfId="0" applyFont="1" applyFill="1" applyBorder="1" applyAlignment="1" applyProtection="1">
      <alignment horizontal="center" vertical="center" wrapText="1"/>
    </xf>
    <xf numFmtId="0" fontId="20" fillId="0" borderId="133" xfId="0" applyFont="1" applyFill="1" applyBorder="1" applyAlignment="1" applyProtection="1">
      <alignment horizontal="center" vertical="center" wrapText="1"/>
    </xf>
    <xf numFmtId="0" fontId="20" fillId="0" borderId="173" xfId="0" applyFont="1" applyFill="1" applyBorder="1" applyAlignment="1" applyProtection="1">
      <alignment horizontal="center" vertical="center" wrapText="1"/>
    </xf>
    <xf numFmtId="0" fontId="20" fillId="0" borderId="156" xfId="0" applyFont="1" applyFill="1" applyBorder="1" applyAlignment="1" applyProtection="1">
      <alignment horizontal="center" vertical="center" wrapText="1"/>
    </xf>
    <xf numFmtId="0" fontId="44" fillId="0" borderId="89" xfId="0" applyFont="1" applyFill="1" applyBorder="1" applyAlignment="1" applyProtection="1">
      <alignment horizontal="center" vertical="center" wrapText="1"/>
    </xf>
    <xf numFmtId="0" fontId="44" fillId="0" borderId="133" xfId="0" applyFont="1" applyFill="1" applyBorder="1" applyAlignment="1" applyProtection="1">
      <alignment horizontal="center" vertical="center" wrapText="1"/>
    </xf>
    <xf numFmtId="0" fontId="44" fillId="0" borderId="95" xfId="0" applyFont="1" applyFill="1" applyBorder="1" applyAlignment="1" applyProtection="1">
      <alignment horizontal="center" vertical="center" wrapText="1"/>
    </xf>
    <xf numFmtId="0" fontId="44" fillId="0" borderId="55" xfId="0" applyFont="1" applyFill="1" applyBorder="1" applyAlignment="1" applyProtection="1">
      <alignment horizontal="center" vertical="center" wrapText="1"/>
    </xf>
    <xf numFmtId="0" fontId="20" fillId="0" borderId="176" xfId="0" applyFont="1" applyBorder="1" applyAlignment="1" applyProtection="1">
      <alignment horizontal="center" vertical="center" wrapText="1"/>
    </xf>
    <xf numFmtId="0" fontId="20" fillId="0" borderId="73" xfId="0" applyFont="1" applyBorder="1" applyAlignment="1" applyProtection="1">
      <alignment horizontal="center" vertical="center" wrapText="1"/>
    </xf>
    <xf numFmtId="0" fontId="44" fillId="0" borderId="134" xfId="0" applyFont="1" applyFill="1" applyBorder="1" applyAlignment="1" applyProtection="1">
      <alignment horizontal="center" vertical="center" wrapText="1"/>
    </xf>
    <xf numFmtId="0" fontId="44" fillId="0" borderId="48" xfId="0" applyFont="1" applyFill="1" applyBorder="1" applyAlignment="1" applyProtection="1">
      <alignment horizontal="center" vertical="center" wrapText="1"/>
    </xf>
    <xf numFmtId="14" fontId="2" fillId="0" borderId="56" xfId="0" applyNumberFormat="1" applyFont="1" applyFill="1" applyBorder="1" applyAlignment="1" applyProtection="1">
      <alignment horizontal="center" vertical="center" shrinkToFit="1"/>
    </xf>
    <xf numFmtId="14" fontId="2" fillId="0" borderId="52" xfId="0" applyNumberFormat="1" applyFont="1" applyFill="1" applyBorder="1" applyAlignment="1" applyProtection="1">
      <alignment horizontal="center" vertical="center" shrinkToFit="1"/>
    </xf>
    <xf numFmtId="14" fontId="2" fillId="0" borderId="133" xfId="0" applyNumberFormat="1" applyFont="1" applyFill="1" applyBorder="1" applyAlignment="1" applyProtection="1">
      <alignment horizontal="center" vertical="center" shrinkToFit="1"/>
    </xf>
    <xf numFmtId="14" fontId="2" fillId="0" borderId="58" xfId="0" applyNumberFormat="1" applyFont="1" applyFill="1" applyBorder="1" applyAlignment="1" applyProtection="1">
      <alignment horizontal="center" vertical="center" shrinkToFit="1"/>
    </xf>
    <xf numFmtId="14" fontId="2" fillId="0" borderId="54" xfId="0" applyNumberFormat="1" applyFont="1" applyFill="1" applyBorder="1" applyAlignment="1" applyProtection="1">
      <alignment horizontal="center" vertical="center" shrinkToFit="1"/>
    </xf>
    <xf numFmtId="14" fontId="2" fillId="0" borderId="55" xfId="0" applyNumberFormat="1" applyFont="1" applyFill="1" applyBorder="1" applyAlignment="1" applyProtection="1">
      <alignment horizontal="center" vertical="center" shrinkToFit="1"/>
    </xf>
    <xf numFmtId="0" fontId="44" fillId="0" borderId="89" xfId="0" applyFont="1" applyBorder="1" applyAlignment="1" applyProtection="1">
      <alignment horizontal="center" vertical="center" wrapText="1"/>
    </xf>
    <xf numFmtId="0" fontId="2" fillId="0" borderId="182" xfId="0" applyNumberFormat="1" applyFont="1" applyFill="1" applyBorder="1" applyAlignment="1" applyProtection="1">
      <alignment horizontal="center" vertical="center" shrinkToFit="1"/>
    </xf>
    <xf numFmtId="0" fontId="2" fillId="0" borderId="131" xfId="0" applyNumberFormat="1" applyFont="1" applyFill="1" applyBorder="1" applyAlignment="1" applyProtection="1">
      <alignment horizontal="center" vertical="center" shrinkToFit="1"/>
    </xf>
    <xf numFmtId="0" fontId="1" fillId="10" borderId="83" xfId="0" applyFont="1" applyFill="1" applyBorder="1" applyAlignment="1" applyProtection="1">
      <alignment horizontal="left" vertical="center" shrinkToFit="1"/>
    </xf>
    <xf numFmtId="0" fontId="1" fillId="10" borderId="84" xfId="0" applyFont="1" applyFill="1" applyBorder="1" applyAlignment="1" applyProtection="1">
      <alignment horizontal="left" vertical="center" shrinkToFit="1"/>
    </xf>
    <xf numFmtId="0" fontId="2" fillId="0" borderId="43" xfId="0" applyNumberFormat="1" applyFont="1" applyFill="1" applyBorder="1" applyAlignment="1" applyProtection="1">
      <alignment horizontal="center" vertical="center" shrinkToFit="1"/>
    </xf>
    <xf numFmtId="0" fontId="2" fillId="0" borderId="50" xfId="0" applyNumberFormat="1" applyFont="1" applyFill="1" applyBorder="1" applyAlignment="1" applyProtection="1">
      <alignment horizontal="center" vertical="center" shrinkToFit="1"/>
    </xf>
    <xf numFmtId="0" fontId="23" fillId="0" borderId="182" xfId="0" applyNumberFormat="1" applyFont="1" applyFill="1" applyBorder="1" applyAlignment="1" applyProtection="1">
      <alignment horizontal="center" vertical="center" wrapText="1" shrinkToFit="1"/>
    </xf>
    <xf numFmtId="183" fontId="2" fillId="0" borderId="180" xfId="0" applyNumberFormat="1" applyFont="1" applyFill="1" applyBorder="1" applyAlignment="1" applyProtection="1">
      <alignment horizontal="center" vertical="center" shrinkToFit="1"/>
    </xf>
    <xf numFmtId="183" fontId="2" fillId="0" borderId="50" xfId="0" applyNumberFormat="1" applyFont="1" applyFill="1" applyBorder="1" applyAlignment="1" applyProtection="1">
      <alignment horizontal="center" vertical="center" shrinkToFit="1"/>
    </xf>
    <xf numFmtId="183" fontId="2" fillId="0" borderId="181" xfId="0" applyNumberFormat="1" applyFont="1" applyFill="1" applyBorder="1" applyAlignment="1" applyProtection="1">
      <alignment horizontal="center" vertical="center" shrinkToFit="1"/>
    </xf>
    <xf numFmtId="0" fontId="1" fillId="0" borderId="80" xfId="0" applyFont="1" applyFill="1" applyBorder="1" applyAlignment="1" applyProtection="1">
      <alignment horizontal="justify" vertical="center" wrapText="1"/>
    </xf>
    <xf numFmtId="0" fontId="1" fillId="0" borderId="81" xfId="0" applyFont="1" applyFill="1" applyBorder="1" applyAlignment="1" applyProtection="1">
      <alignment horizontal="justify" vertical="center" wrapText="1"/>
    </xf>
    <xf numFmtId="0" fontId="1" fillId="10" borderId="40" xfId="0" applyFont="1" applyFill="1" applyBorder="1" applyAlignment="1" applyProtection="1">
      <alignment horizontal="justify" vertical="center" wrapText="1"/>
    </xf>
    <xf numFmtId="0" fontId="1" fillId="10" borderId="41" xfId="0" applyFont="1" applyFill="1" applyBorder="1" applyAlignment="1" applyProtection="1">
      <alignment horizontal="justify" vertical="center" wrapText="1"/>
    </xf>
    <xf numFmtId="0" fontId="1" fillId="10" borderId="144" xfId="0" applyFont="1" applyFill="1" applyBorder="1" applyAlignment="1" applyProtection="1">
      <alignment horizontal="justify" vertical="center" wrapText="1"/>
    </xf>
    <xf numFmtId="179" fontId="1" fillId="0" borderId="145" xfId="0" applyNumberFormat="1" applyFont="1" applyBorder="1" applyAlignment="1" applyProtection="1">
      <alignment horizontal="center" vertical="center" wrapText="1"/>
    </xf>
    <xf numFmtId="179" fontId="1" fillId="0" borderId="148" xfId="0" applyNumberFormat="1" applyFont="1" applyBorder="1" applyAlignment="1" applyProtection="1">
      <alignment horizontal="center" vertical="center" wrapText="1"/>
    </xf>
    <xf numFmtId="0" fontId="2" fillId="0" borderId="146" xfId="0" applyFont="1" applyBorder="1" applyAlignment="1" applyProtection="1">
      <alignment horizontal="center" vertical="center" wrapText="1"/>
    </xf>
    <xf numFmtId="0" fontId="2" fillId="0" borderId="147" xfId="0" applyFont="1" applyBorder="1" applyAlignment="1" applyProtection="1">
      <alignment horizontal="center" vertical="center" wrapText="1"/>
    </xf>
    <xf numFmtId="179" fontId="1" fillId="10" borderId="84" xfId="0" applyNumberFormat="1" applyFont="1" applyFill="1" applyBorder="1" applyAlignment="1" applyProtection="1">
      <alignment horizontal="center" vertical="center" wrapText="1"/>
    </xf>
    <xf numFmtId="179" fontId="1" fillId="10" borderId="85" xfId="0" applyNumberFormat="1" applyFont="1" applyFill="1" applyBorder="1" applyAlignment="1" applyProtection="1">
      <alignment horizontal="center" vertical="center" wrapText="1"/>
    </xf>
    <xf numFmtId="0" fontId="20" fillId="0" borderId="150" xfId="0" applyFont="1" applyBorder="1" applyAlignment="1" applyProtection="1">
      <alignment horizontal="center" vertical="center" shrinkToFit="1"/>
    </xf>
    <xf numFmtId="0" fontId="20" fillId="0" borderId="86" xfId="0" applyFont="1" applyBorder="1" applyAlignment="1" applyProtection="1">
      <alignment horizontal="center" vertical="center" shrinkToFit="1"/>
    </xf>
    <xf numFmtId="0" fontId="20" fillId="0" borderId="132" xfId="0" applyFont="1" applyBorder="1" applyAlignment="1" applyProtection="1">
      <alignment horizontal="center" vertical="center" shrinkToFit="1"/>
    </xf>
    <xf numFmtId="179" fontId="2" fillId="0" borderId="25" xfId="0" applyNumberFormat="1" applyFont="1" applyBorder="1" applyAlignment="1" applyProtection="1">
      <alignment horizontal="center" vertical="center" shrinkToFit="1"/>
    </xf>
    <xf numFmtId="179" fontId="2" fillId="0" borderId="35" xfId="0" applyNumberFormat="1" applyFont="1" applyBorder="1" applyAlignment="1" applyProtection="1">
      <alignment horizontal="center" vertical="center" shrinkToFit="1"/>
    </xf>
    <xf numFmtId="179" fontId="18" fillId="0" borderId="38" xfId="0" applyNumberFormat="1" applyFont="1" applyFill="1" applyBorder="1" applyAlignment="1" applyProtection="1">
      <alignment horizontal="center" vertical="center" shrinkToFit="1"/>
    </xf>
    <xf numFmtId="179" fontId="18" fillId="0" borderId="32" xfId="0" applyNumberFormat="1" applyFont="1" applyFill="1" applyBorder="1" applyAlignment="1" applyProtection="1">
      <alignment horizontal="center" vertical="center" shrinkToFit="1"/>
    </xf>
    <xf numFmtId="179" fontId="18" fillId="0" borderId="35" xfId="0" applyNumberFormat="1" applyFont="1" applyFill="1" applyBorder="1" applyAlignment="1" applyProtection="1">
      <alignment horizontal="center" vertical="center" shrinkToFit="1"/>
    </xf>
    <xf numFmtId="179" fontId="1" fillId="10" borderId="84" xfId="0" applyNumberFormat="1" applyFont="1" applyFill="1" applyBorder="1" applyAlignment="1" applyProtection="1">
      <alignment horizontal="center" vertical="center" shrinkToFit="1"/>
    </xf>
    <xf numFmtId="179" fontId="1" fillId="10" borderId="85" xfId="0" applyNumberFormat="1" applyFont="1" applyFill="1" applyBorder="1" applyAlignment="1" applyProtection="1">
      <alignment horizontal="center" vertical="center" shrinkToFit="1"/>
    </xf>
    <xf numFmtId="179" fontId="18" fillId="0" borderId="75" xfId="0" applyNumberFormat="1" applyFont="1" applyFill="1" applyBorder="1" applyAlignment="1" applyProtection="1">
      <alignment horizontal="center" vertical="center" shrinkToFit="1"/>
    </xf>
    <xf numFmtId="179" fontId="18" fillId="0" borderId="156" xfId="0" applyNumberFormat="1" applyFont="1" applyFill="1" applyBorder="1" applyAlignment="1" applyProtection="1">
      <alignment horizontal="center" vertical="center" shrinkToFit="1"/>
    </xf>
    <xf numFmtId="179" fontId="18" fillId="0" borderId="86" xfId="0" applyNumberFormat="1" applyFont="1" applyBorder="1" applyAlignment="1" applyProtection="1">
      <alignment horizontal="center" vertical="center" shrinkToFit="1"/>
    </xf>
    <xf numFmtId="179" fontId="18" fillId="0" borderId="132" xfId="0" applyNumberFormat="1" applyFont="1" applyBorder="1" applyAlignment="1" applyProtection="1">
      <alignment horizontal="center" vertical="center" shrinkToFit="1"/>
    </xf>
    <xf numFmtId="0" fontId="18" fillId="0" borderId="53" xfId="0" applyFont="1" applyBorder="1" applyAlignment="1" applyProtection="1">
      <alignment horizontal="center" vertical="center" shrinkToFit="1"/>
    </xf>
    <xf numFmtId="0" fontId="18" fillId="0" borderId="86" xfId="0" applyFont="1" applyBorder="1" applyAlignment="1" applyProtection="1">
      <alignment horizontal="center" vertical="center" shrinkToFit="1"/>
    </xf>
    <xf numFmtId="0" fontId="18" fillId="0" borderId="174" xfId="0" applyFont="1" applyBorder="1" applyAlignment="1" applyProtection="1">
      <alignment horizontal="center" vertical="center" shrinkToFit="1"/>
    </xf>
    <xf numFmtId="179" fontId="18" fillId="0" borderId="25" xfId="0" applyNumberFormat="1" applyFont="1" applyFill="1" applyBorder="1" applyAlignment="1" applyProtection="1">
      <alignment horizontal="center" vertical="center" shrinkToFit="1"/>
    </xf>
    <xf numFmtId="0" fontId="2" fillId="0" borderId="137" xfId="0" applyFont="1" applyBorder="1" applyAlignment="1" applyProtection="1">
      <alignment horizontal="center" vertical="center" wrapText="1"/>
      <protection hidden="1"/>
    </xf>
    <xf numFmtId="0" fontId="2" fillId="0" borderId="127" xfId="0" applyFont="1" applyBorder="1" applyAlignment="1" applyProtection="1">
      <alignment horizontal="center" vertical="center" wrapText="1"/>
      <protection hidden="1"/>
    </xf>
    <xf numFmtId="0" fontId="2" fillId="0" borderId="46" xfId="0" applyFont="1" applyBorder="1" applyAlignment="1" applyProtection="1">
      <alignment horizontal="center" vertical="center" wrapText="1"/>
      <protection hidden="1"/>
    </xf>
    <xf numFmtId="0" fontId="1" fillId="0" borderId="102" xfId="0" applyFont="1" applyBorder="1" applyAlignment="1" applyProtection="1">
      <alignment horizontal="left" vertical="center" wrapText="1"/>
      <protection hidden="1"/>
    </xf>
    <xf numFmtId="0" fontId="1" fillId="0" borderId="90" xfId="0" applyFont="1" applyBorder="1" applyAlignment="1" applyProtection="1">
      <alignment horizontal="left" vertical="center" wrapText="1"/>
      <protection hidden="1"/>
    </xf>
    <xf numFmtId="0" fontId="1" fillId="0" borderId="148" xfId="0" applyFont="1" applyBorder="1" applyAlignment="1" applyProtection="1">
      <alignment horizontal="left" vertical="center" wrapText="1"/>
      <protection hidden="1"/>
    </xf>
    <xf numFmtId="0" fontId="2" fillId="2" borderId="134" xfId="0" applyFont="1" applyFill="1" applyBorder="1" applyAlignment="1" applyProtection="1">
      <alignment horizontal="center" vertical="center" wrapText="1"/>
      <protection hidden="1"/>
    </xf>
    <xf numFmtId="0" fontId="2" fillId="2" borderId="48" xfId="0" applyFont="1" applyFill="1" applyBorder="1" applyAlignment="1" applyProtection="1">
      <alignment horizontal="center" vertical="center" wrapText="1"/>
      <protection hidden="1"/>
    </xf>
    <xf numFmtId="0" fontId="2" fillId="2" borderId="12" xfId="0" applyFont="1" applyFill="1" applyBorder="1" applyAlignment="1" applyProtection="1">
      <alignment horizontal="center" vertical="center" wrapText="1"/>
      <protection hidden="1"/>
    </xf>
    <xf numFmtId="0" fontId="2" fillId="0" borderId="134" xfId="0" applyFont="1" applyBorder="1" applyAlignment="1" applyProtection="1">
      <alignment horizontal="center" vertical="center" wrapText="1"/>
      <protection hidden="1"/>
    </xf>
    <xf numFmtId="0" fontId="2" fillId="0" borderId="48" xfId="0" applyFont="1" applyBorder="1" applyAlignment="1" applyProtection="1">
      <alignment horizontal="center" vertical="center" wrapText="1"/>
      <protection hidden="1"/>
    </xf>
    <xf numFmtId="0" fontId="2" fillId="0" borderId="12" xfId="0" applyFont="1" applyBorder="1" applyAlignment="1" applyProtection="1">
      <alignment horizontal="center" vertical="center" wrapText="1"/>
      <protection hidden="1"/>
    </xf>
    <xf numFmtId="0" fontId="2" fillId="2" borderId="27" xfId="0" applyFont="1" applyFill="1" applyBorder="1" applyAlignment="1" applyProtection="1">
      <alignment horizontal="center" vertical="center" wrapText="1"/>
      <protection hidden="1"/>
    </xf>
    <xf numFmtId="0" fontId="2" fillId="2" borderId="99" xfId="0" applyFont="1" applyFill="1" applyBorder="1" applyAlignment="1" applyProtection="1">
      <alignment horizontal="center" vertical="center" wrapText="1"/>
      <protection hidden="1"/>
    </xf>
    <xf numFmtId="0" fontId="2" fillId="0" borderId="27" xfId="0" applyFont="1" applyBorder="1" applyAlignment="1" applyProtection="1">
      <alignment horizontal="center" vertical="center" wrapText="1"/>
      <protection hidden="1"/>
    </xf>
    <xf numFmtId="0" fontId="2" fillId="0" borderId="99" xfId="0" applyFont="1" applyBorder="1" applyAlignment="1" applyProtection="1">
      <alignment horizontal="center" vertical="center" wrapText="1"/>
      <protection hidden="1"/>
    </xf>
    <xf numFmtId="0" fontId="2" fillId="0" borderId="93" xfId="0" applyFont="1" applyBorder="1" applyAlignment="1" applyProtection="1">
      <alignment horizontal="center" vertical="center" wrapText="1"/>
      <protection hidden="1"/>
    </xf>
    <xf numFmtId="0" fontId="2" fillId="0" borderId="100" xfId="0" applyFont="1" applyBorder="1" applyAlignment="1" applyProtection="1">
      <alignment horizontal="center" vertical="center" wrapText="1"/>
      <protection hidden="1"/>
    </xf>
    <xf numFmtId="0" fontId="20" fillId="5" borderId="87" xfId="0" applyFont="1" applyFill="1" applyBorder="1" applyAlignment="1" applyProtection="1">
      <alignment horizontal="center" vertical="center" wrapText="1"/>
    </xf>
    <xf numFmtId="0" fontId="20" fillId="5" borderId="44" xfId="0" applyFont="1" applyFill="1" applyBorder="1" applyAlignment="1" applyProtection="1">
      <alignment horizontal="center" vertical="center" wrapText="1"/>
    </xf>
    <xf numFmtId="0" fontId="20" fillId="0" borderId="89" xfId="0" applyFont="1" applyFill="1" applyBorder="1" applyAlignment="1" applyProtection="1">
      <alignment horizontal="center" vertical="center" wrapText="1"/>
      <protection hidden="1"/>
    </xf>
    <xf numFmtId="0" fontId="20" fillId="0" borderId="133" xfId="0" applyFont="1" applyFill="1" applyBorder="1" applyAlignment="1" applyProtection="1">
      <alignment horizontal="center" vertical="center" wrapText="1"/>
      <protection hidden="1"/>
    </xf>
    <xf numFmtId="0" fontId="20" fillId="0" borderId="88" xfId="0" applyFont="1" applyFill="1" applyBorder="1" applyAlignment="1" applyProtection="1">
      <alignment horizontal="center" vertical="center" wrapText="1"/>
      <protection hidden="1"/>
    </xf>
    <xf numFmtId="0" fontId="20" fillId="0" borderId="92" xfId="0" applyFont="1" applyFill="1" applyBorder="1" applyAlignment="1" applyProtection="1">
      <alignment horizontal="center" vertical="center" wrapText="1"/>
      <protection hidden="1"/>
    </xf>
    <xf numFmtId="0" fontId="20" fillId="5" borderId="95" xfId="0" applyFont="1" applyFill="1" applyBorder="1" applyAlignment="1" applyProtection="1">
      <alignment horizontal="center" vertical="center" wrapText="1"/>
    </xf>
    <xf numFmtId="0" fontId="20" fillId="5" borderId="55" xfId="0" applyFont="1" applyFill="1" applyBorder="1" applyAlignment="1" applyProtection="1">
      <alignment horizontal="center" vertical="center" wrapText="1"/>
    </xf>
    <xf numFmtId="0" fontId="20" fillId="5" borderId="13" xfId="0" applyFont="1" applyFill="1" applyBorder="1" applyAlignment="1" applyProtection="1">
      <alignment horizontal="center" vertical="center" wrapText="1"/>
    </xf>
    <xf numFmtId="0" fontId="20" fillId="5" borderId="25" xfId="0" applyFont="1" applyFill="1" applyBorder="1" applyAlignment="1" applyProtection="1">
      <alignment horizontal="center" vertical="center" wrapText="1"/>
    </xf>
    <xf numFmtId="178" fontId="2" fillId="0" borderId="53" xfId="0" applyNumberFormat="1" applyFont="1" applyFill="1" applyBorder="1" applyAlignment="1" applyProtection="1">
      <alignment horizontal="center" vertical="center" shrinkToFit="1"/>
      <protection hidden="1"/>
    </xf>
    <xf numFmtId="178" fontId="2" fillId="0" borderId="86" xfId="0" applyNumberFormat="1" applyFont="1" applyFill="1" applyBorder="1" applyAlignment="1" applyProtection="1">
      <alignment horizontal="center" vertical="center" shrinkToFit="1"/>
      <protection hidden="1"/>
    </xf>
    <xf numFmtId="178" fontId="2" fillId="0" borderId="132" xfId="0" applyNumberFormat="1" applyFont="1" applyFill="1" applyBorder="1" applyAlignment="1" applyProtection="1">
      <alignment horizontal="center" vertical="center" shrinkToFit="1"/>
      <protection hidden="1"/>
    </xf>
    <xf numFmtId="0" fontId="40" fillId="0" borderId="188" xfId="0" applyFont="1" applyFill="1" applyBorder="1" applyAlignment="1" applyProtection="1">
      <alignment horizontal="center" vertical="center" wrapText="1"/>
      <protection hidden="1"/>
    </xf>
    <xf numFmtId="0" fontId="40" fillId="0" borderId="32" xfId="0" applyFont="1" applyFill="1" applyBorder="1" applyAlignment="1" applyProtection="1">
      <alignment horizontal="center" vertical="center" wrapText="1"/>
      <protection hidden="1"/>
    </xf>
    <xf numFmtId="0" fontId="40" fillId="0" borderId="157" xfId="0" applyFont="1" applyFill="1" applyBorder="1" applyAlignment="1" applyProtection="1">
      <alignment horizontal="center" vertical="center" wrapText="1"/>
      <protection hidden="1"/>
    </xf>
    <xf numFmtId="0" fontId="17" fillId="0" borderId="0" xfId="0" applyFont="1" applyBorder="1" applyAlignment="1" applyProtection="1">
      <alignment horizontal="center" vertical="center" wrapText="1" shrinkToFit="1"/>
    </xf>
    <xf numFmtId="0" fontId="67" fillId="0" borderId="178" xfId="0" applyFont="1" applyBorder="1" applyAlignment="1" applyProtection="1">
      <alignment horizontal="center" vertical="center" shrinkToFit="1"/>
    </xf>
  </cellXfs>
  <cellStyles count="2">
    <cellStyle name="표준" xfId="0" builtinId="0"/>
    <cellStyle name="표준 2 2" xfId="1" xr:uid="{00000000-0005-0000-0000-000001000000}"/>
  </cellStyles>
  <dxfs count="20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  <color rgb="FF0000FF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:B382"/>
  <sheetViews>
    <sheetView topLeftCell="A30" zoomScaleNormal="100" workbookViewId="0">
      <selection activeCell="M53" sqref="M53"/>
    </sheetView>
  </sheetViews>
  <sheetFormatPr defaultColWidth="9" defaultRowHeight="14.25" x14ac:dyDescent="0.3"/>
  <cols>
    <col min="1" max="1" width="8.375" style="3" customWidth="1"/>
    <col min="2" max="2" width="25.875" style="3" bestFit="1" customWidth="1"/>
    <col min="3" max="16384" width="9" style="3"/>
  </cols>
  <sheetData>
    <row r="1" spans="1:2" x14ac:dyDescent="0.3">
      <c r="A1" s="1">
        <v>1</v>
      </c>
      <c r="B1" s="2" t="s">
        <v>348</v>
      </c>
    </row>
    <row r="2" spans="1:2" x14ac:dyDescent="0.3">
      <c r="A2" s="1">
        <v>51</v>
      </c>
      <c r="B2" s="2" t="s">
        <v>63</v>
      </c>
    </row>
    <row r="3" spans="1:2" x14ac:dyDescent="0.3">
      <c r="A3" s="1">
        <v>52</v>
      </c>
      <c r="B3" s="2" t="s">
        <v>355</v>
      </c>
    </row>
    <row r="4" spans="1:2" x14ac:dyDescent="0.3">
      <c r="A4" s="1">
        <v>53</v>
      </c>
      <c r="B4" s="2" t="s">
        <v>359</v>
      </c>
    </row>
    <row r="5" spans="1:2" x14ac:dyDescent="0.3">
      <c r="A5" s="1">
        <v>54</v>
      </c>
      <c r="B5" s="2" t="s">
        <v>1032</v>
      </c>
    </row>
    <row r="6" spans="1:2" x14ac:dyDescent="0.3">
      <c r="A6" s="1">
        <v>55</v>
      </c>
      <c r="B6" s="2" t="s">
        <v>1033</v>
      </c>
    </row>
    <row r="7" spans="1:2" ht="14.25" customHeight="1" x14ac:dyDescent="0.3">
      <c r="A7" s="1">
        <v>56</v>
      </c>
      <c r="B7" s="2" t="s">
        <v>1034</v>
      </c>
    </row>
    <row r="8" spans="1:2" x14ac:dyDescent="0.3">
      <c r="A8" s="1">
        <v>57</v>
      </c>
      <c r="B8" s="2" t="s">
        <v>1035</v>
      </c>
    </row>
    <row r="9" spans="1:2" x14ac:dyDescent="0.3">
      <c r="A9" s="1">
        <v>58</v>
      </c>
      <c r="B9" s="2" t="s">
        <v>1036</v>
      </c>
    </row>
    <row r="10" spans="1:2" x14ac:dyDescent="0.3">
      <c r="A10" s="1">
        <v>59</v>
      </c>
      <c r="B10" s="2" t="s">
        <v>1037</v>
      </c>
    </row>
    <row r="11" spans="1:2" ht="17.25" customHeight="1" x14ac:dyDescent="0.3">
      <c r="A11" s="1">
        <v>60</v>
      </c>
      <c r="B11" s="2" t="s">
        <v>1038</v>
      </c>
    </row>
    <row r="12" spans="1:2" x14ac:dyDescent="0.3">
      <c r="A12" s="1">
        <v>61</v>
      </c>
      <c r="B12" s="2" t="s">
        <v>1039</v>
      </c>
    </row>
    <row r="13" spans="1:2" x14ac:dyDescent="0.3">
      <c r="A13" s="1">
        <v>62</v>
      </c>
      <c r="B13" s="2" t="s">
        <v>1040</v>
      </c>
    </row>
    <row r="14" spans="1:2" x14ac:dyDescent="0.3">
      <c r="A14" s="1">
        <v>63</v>
      </c>
      <c r="B14" s="2" t="s">
        <v>1041</v>
      </c>
    </row>
    <row r="15" spans="1:2" x14ac:dyDescent="0.3">
      <c r="A15" s="1">
        <v>100</v>
      </c>
      <c r="B15" s="2" t="s">
        <v>774</v>
      </c>
    </row>
    <row r="16" spans="1:2" x14ac:dyDescent="0.3">
      <c r="A16" s="1">
        <v>200</v>
      </c>
      <c r="B16" s="2" t="s">
        <v>775</v>
      </c>
    </row>
    <row r="17" spans="1:2" x14ac:dyDescent="0.3">
      <c r="A17" s="1">
        <v>300</v>
      </c>
      <c r="B17" s="2" t="s">
        <v>776</v>
      </c>
    </row>
    <row r="18" spans="1:2" x14ac:dyDescent="0.3">
      <c r="A18" s="1">
        <v>400</v>
      </c>
      <c r="B18" s="2" t="s">
        <v>777</v>
      </c>
    </row>
    <row r="19" spans="1:2" x14ac:dyDescent="0.3">
      <c r="A19" s="1">
        <v>500</v>
      </c>
      <c r="B19" s="2" t="s">
        <v>778</v>
      </c>
    </row>
    <row r="20" spans="1:2" x14ac:dyDescent="0.3">
      <c r="A20" s="1">
        <v>600</v>
      </c>
      <c r="B20" s="2" t="s">
        <v>779</v>
      </c>
    </row>
    <row r="21" spans="1:2" x14ac:dyDescent="0.3">
      <c r="A21" s="1">
        <v>700</v>
      </c>
      <c r="B21" s="2" t="s">
        <v>780</v>
      </c>
    </row>
    <row r="22" spans="1:2" x14ac:dyDescent="0.3">
      <c r="A22" s="1">
        <v>800</v>
      </c>
      <c r="B22" s="2" t="s">
        <v>781</v>
      </c>
    </row>
    <row r="23" spans="1:2" x14ac:dyDescent="0.3">
      <c r="A23" s="1">
        <v>900</v>
      </c>
      <c r="B23" s="2" t="s">
        <v>782</v>
      </c>
    </row>
    <row r="24" spans="1:2" x14ac:dyDescent="0.3">
      <c r="A24" s="1">
        <v>910</v>
      </c>
      <c r="B24" s="2" t="s">
        <v>783</v>
      </c>
    </row>
    <row r="25" spans="1:2" x14ac:dyDescent="0.3">
      <c r="A25" s="1">
        <v>920</v>
      </c>
      <c r="B25" s="2" t="s">
        <v>784</v>
      </c>
    </row>
    <row r="26" spans="1:2" x14ac:dyDescent="0.3">
      <c r="A26" s="1">
        <v>930</v>
      </c>
      <c r="B26" s="2" t="s">
        <v>785</v>
      </c>
    </row>
    <row r="27" spans="1:2" x14ac:dyDescent="0.3">
      <c r="A27" s="1">
        <v>940</v>
      </c>
      <c r="B27" s="2" t="s">
        <v>786</v>
      </c>
    </row>
    <row r="28" spans="1:2" x14ac:dyDescent="0.3">
      <c r="A28" s="1">
        <v>950</v>
      </c>
      <c r="B28" s="2" t="s">
        <v>787</v>
      </c>
    </row>
    <row r="29" spans="1:2" x14ac:dyDescent="0.3">
      <c r="A29" s="1">
        <v>960</v>
      </c>
      <c r="B29" s="2" t="s">
        <v>788</v>
      </c>
    </row>
    <row r="30" spans="1:2" x14ac:dyDescent="0.3">
      <c r="A30" s="1">
        <v>970</v>
      </c>
      <c r="B30" s="2" t="s">
        <v>789</v>
      </c>
    </row>
    <row r="31" spans="1:2" x14ac:dyDescent="0.3">
      <c r="A31" s="1">
        <v>980</v>
      </c>
      <c r="B31" s="2" t="s">
        <v>790</v>
      </c>
    </row>
    <row r="32" spans="1:2" x14ac:dyDescent="0.3">
      <c r="A32" s="1">
        <v>990</v>
      </c>
      <c r="B32" s="2" t="s">
        <v>791</v>
      </c>
    </row>
    <row r="33" spans="1:2" ht="15.75" customHeight="1" x14ac:dyDescent="0.3">
      <c r="A33" s="1" t="s">
        <v>578</v>
      </c>
      <c r="B33" s="2" t="s">
        <v>96</v>
      </c>
    </row>
    <row r="34" spans="1:2" x14ac:dyDescent="0.3">
      <c r="A34" s="1" t="s">
        <v>579</v>
      </c>
      <c r="B34" s="2" t="s">
        <v>100</v>
      </c>
    </row>
    <row r="35" spans="1:2" x14ac:dyDescent="0.3">
      <c r="A35" s="1" t="s">
        <v>580</v>
      </c>
      <c r="B35" s="2" t="s">
        <v>103</v>
      </c>
    </row>
    <row r="36" spans="1:2" x14ac:dyDescent="0.3">
      <c r="A36" s="1" t="s">
        <v>581</v>
      </c>
      <c r="B36" s="2" t="s">
        <v>106</v>
      </c>
    </row>
    <row r="37" spans="1:2" x14ac:dyDescent="0.3">
      <c r="A37" s="1" t="s">
        <v>582</v>
      </c>
      <c r="B37" s="2" t="s">
        <v>110</v>
      </c>
    </row>
    <row r="38" spans="1:2" x14ac:dyDescent="0.3">
      <c r="A38" s="1" t="s">
        <v>583</v>
      </c>
      <c r="B38" s="2" t="s">
        <v>114</v>
      </c>
    </row>
    <row r="39" spans="1:2" x14ac:dyDescent="0.3">
      <c r="A39" s="1" t="s">
        <v>584</v>
      </c>
      <c r="B39" s="2" t="s">
        <v>117</v>
      </c>
    </row>
    <row r="40" spans="1:2" x14ac:dyDescent="0.3">
      <c r="A40" s="1" t="s">
        <v>585</v>
      </c>
      <c r="B40" s="2" t="s">
        <v>121</v>
      </c>
    </row>
    <row r="41" spans="1:2" x14ac:dyDescent="0.3">
      <c r="A41" s="1" t="s">
        <v>586</v>
      </c>
      <c r="B41" s="2" t="s">
        <v>125</v>
      </c>
    </row>
    <row r="42" spans="1:2" x14ac:dyDescent="0.3">
      <c r="A42" s="1" t="s">
        <v>587</v>
      </c>
      <c r="B42" s="2" t="s">
        <v>129</v>
      </c>
    </row>
    <row r="43" spans="1:2" x14ac:dyDescent="0.3">
      <c r="A43" s="1" t="s">
        <v>588</v>
      </c>
      <c r="B43" s="2" t="s">
        <v>133</v>
      </c>
    </row>
    <row r="44" spans="1:2" x14ac:dyDescent="0.3">
      <c r="A44" s="1" t="s">
        <v>589</v>
      </c>
      <c r="B44" s="2" t="s">
        <v>136</v>
      </c>
    </row>
    <row r="45" spans="1:2" x14ac:dyDescent="0.3">
      <c r="A45" s="1" t="s">
        <v>590</v>
      </c>
      <c r="B45" s="2" t="s">
        <v>140</v>
      </c>
    </row>
    <row r="46" spans="1:2" x14ac:dyDescent="0.3">
      <c r="A46" s="1" t="s">
        <v>591</v>
      </c>
      <c r="B46" s="2" t="s">
        <v>144</v>
      </c>
    </row>
    <row r="47" spans="1:2" x14ac:dyDescent="0.3">
      <c r="A47" s="1" t="s">
        <v>592</v>
      </c>
      <c r="B47" s="2" t="s">
        <v>148</v>
      </c>
    </row>
    <row r="48" spans="1:2" x14ac:dyDescent="0.3">
      <c r="A48" s="1" t="s">
        <v>593</v>
      </c>
      <c r="B48" s="2" t="s">
        <v>152</v>
      </c>
    </row>
    <row r="49" spans="1:2" x14ac:dyDescent="0.3">
      <c r="A49" s="1" t="s">
        <v>594</v>
      </c>
      <c r="B49" s="2" t="s">
        <v>992</v>
      </c>
    </row>
    <row r="50" spans="1:2" x14ac:dyDescent="0.3">
      <c r="A50" s="1" t="s">
        <v>595</v>
      </c>
      <c r="B50" s="2" t="s">
        <v>159</v>
      </c>
    </row>
    <row r="51" spans="1:2" x14ac:dyDescent="0.3">
      <c r="A51" s="1" t="s">
        <v>596</v>
      </c>
      <c r="B51" s="2" t="s">
        <v>171</v>
      </c>
    </row>
    <row r="52" spans="1:2" x14ac:dyDescent="0.3">
      <c r="A52" s="1" t="s">
        <v>597</v>
      </c>
      <c r="B52" s="2" t="s">
        <v>174</v>
      </c>
    </row>
    <row r="53" spans="1:2" x14ac:dyDescent="0.3">
      <c r="A53" s="1" t="s">
        <v>598</v>
      </c>
      <c r="B53" s="2" t="s">
        <v>176</v>
      </c>
    </row>
    <row r="54" spans="1:2" x14ac:dyDescent="0.3">
      <c r="A54" s="1" t="s">
        <v>599</v>
      </c>
      <c r="B54" s="2" t="s">
        <v>163</v>
      </c>
    </row>
    <row r="55" spans="1:2" x14ac:dyDescent="0.3">
      <c r="A55" s="1" t="s">
        <v>600</v>
      </c>
      <c r="B55" s="2" t="s">
        <v>167</v>
      </c>
    </row>
    <row r="56" spans="1:2" x14ac:dyDescent="0.3">
      <c r="A56" s="1" t="s">
        <v>601</v>
      </c>
      <c r="B56" s="2" t="s">
        <v>180</v>
      </c>
    </row>
    <row r="57" spans="1:2" x14ac:dyDescent="0.3">
      <c r="A57" s="1" t="s">
        <v>602</v>
      </c>
      <c r="B57" s="2" t="s">
        <v>184</v>
      </c>
    </row>
    <row r="58" spans="1:2" x14ac:dyDescent="0.3">
      <c r="A58" s="1" t="s">
        <v>603</v>
      </c>
      <c r="B58" s="2" t="s">
        <v>576</v>
      </c>
    </row>
    <row r="59" spans="1:2" x14ac:dyDescent="0.3">
      <c r="A59" s="1" t="s">
        <v>612</v>
      </c>
      <c r="B59" s="2" t="s">
        <v>187</v>
      </c>
    </row>
    <row r="60" spans="1:2" x14ac:dyDescent="0.3">
      <c r="A60" s="1" t="s">
        <v>613</v>
      </c>
      <c r="B60" s="2" t="s">
        <v>189</v>
      </c>
    </row>
    <row r="61" spans="1:2" x14ac:dyDescent="0.3">
      <c r="A61" s="1" t="s">
        <v>604</v>
      </c>
      <c r="B61" s="2" t="s">
        <v>192</v>
      </c>
    </row>
    <row r="62" spans="1:2" x14ac:dyDescent="0.3">
      <c r="A62" s="1" t="s">
        <v>605</v>
      </c>
      <c r="B62" s="2" t="s">
        <v>195</v>
      </c>
    </row>
    <row r="63" spans="1:2" x14ac:dyDescent="0.3">
      <c r="A63" s="1" t="s">
        <v>606</v>
      </c>
      <c r="B63" s="2" t="s">
        <v>198</v>
      </c>
    </row>
    <row r="64" spans="1:2" x14ac:dyDescent="0.3">
      <c r="A64" s="1" t="s">
        <v>607</v>
      </c>
      <c r="B64" s="2" t="s">
        <v>202</v>
      </c>
    </row>
    <row r="65" spans="1:2" x14ac:dyDescent="0.3">
      <c r="A65" s="1" t="s">
        <v>608</v>
      </c>
      <c r="B65" s="2" t="s">
        <v>205</v>
      </c>
    </row>
    <row r="66" spans="1:2" x14ac:dyDescent="0.3">
      <c r="A66" s="1" t="s">
        <v>609</v>
      </c>
      <c r="B66" s="2" t="s">
        <v>208</v>
      </c>
    </row>
    <row r="67" spans="1:2" x14ac:dyDescent="0.3">
      <c r="A67" s="1" t="s">
        <v>610</v>
      </c>
      <c r="B67" s="2" t="s">
        <v>210</v>
      </c>
    </row>
    <row r="68" spans="1:2" x14ac:dyDescent="0.3">
      <c r="A68" s="1" t="s">
        <v>611</v>
      </c>
      <c r="B68" s="2" t="s">
        <v>213</v>
      </c>
    </row>
    <row r="69" spans="1:2" x14ac:dyDescent="0.3">
      <c r="A69" s="1" t="s">
        <v>1013</v>
      </c>
      <c r="B69" s="2" t="s">
        <v>219</v>
      </c>
    </row>
    <row r="70" spans="1:2" x14ac:dyDescent="0.3">
      <c r="A70" s="1" t="s">
        <v>1014</v>
      </c>
      <c r="B70" s="2" t="s">
        <v>223</v>
      </c>
    </row>
    <row r="71" spans="1:2" x14ac:dyDescent="0.3">
      <c r="A71" s="1" t="s">
        <v>1015</v>
      </c>
      <c r="B71" s="2" t="s">
        <v>240</v>
      </c>
    </row>
    <row r="72" spans="1:2" x14ac:dyDescent="0.3">
      <c r="A72" s="1" t="s">
        <v>1016</v>
      </c>
      <c r="B72" s="2" t="s">
        <v>236</v>
      </c>
    </row>
    <row r="73" spans="1:2" x14ac:dyDescent="0.3">
      <c r="A73" s="1" t="s">
        <v>1017</v>
      </c>
      <c r="B73" s="2" t="s">
        <v>227</v>
      </c>
    </row>
    <row r="74" spans="1:2" x14ac:dyDescent="0.3">
      <c r="A74" s="1" t="s">
        <v>614</v>
      </c>
      <c r="B74" s="2" t="s">
        <v>1018</v>
      </c>
    </row>
    <row r="75" spans="1:2" x14ac:dyDescent="0.3">
      <c r="A75" s="1" t="s">
        <v>615</v>
      </c>
      <c r="B75" s="2" t="s">
        <v>1019</v>
      </c>
    </row>
    <row r="76" spans="1:2" x14ac:dyDescent="0.3">
      <c r="A76" s="1" t="s">
        <v>616</v>
      </c>
      <c r="B76" s="2" t="s">
        <v>577</v>
      </c>
    </row>
    <row r="77" spans="1:2" x14ac:dyDescent="0.3">
      <c r="A77" s="1" t="s">
        <v>617</v>
      </c>
      <c r="B77" s="2" t="s">
        <v>242</v>
      </c>
    </row>
    <row r="78" spans="1:2" x14ac:dyDescent="0.3">
      <c r="A78" s="1" t="s">
        <v>618</v>
      </c>
      <c r="B78" s="2" t="s">
        <v>246</v>
      </c>
    </row>
    <row r="79" spans="1:2" x14ac:dyDescent="0.3">
      <c r="A79" s="1" t="s">
        <v>619</v>
      </c>
      <c r="B79" s="2" t="s">
        <v>97</v>
      </c>
    </row>
    <row r="80" spans="1:2" x14ac:dyDescent="0.3">
      <c r="A80" s="1" t="s">
        <v>620</v>
      </c>
      <c r="B80" s="2" t="s">
        <v>101</v>
      </c>
    </row>
    <row r="81" spans="1:2" x14ac:dyDescent="0.3">
      <c r="A81" s="1" t="s">
        <v>621</v>
      </c>
      <c r="B81" s="2" t="s">
        <v>104</v>
      </c>
    </row>
    <row r="82" spans="1:2" x14ac:dyDescent="0.3">
      <c r="A82" s="1" t="s">
        <v>622</v>
      </c>
      <c r="B82" s="2" t="s">
        <v>107</v>
      </c>
    </row>
    <row r="83" spans="1:2" x14ac:dyDescent="0.3">
      <c r="A83" s="1" t="s">
        <v>623</v>
      </c>
      <c r="B83" s="2" t="s">
        <v>111</v>
      </c>
    </row>
    <row r="84" spans="1:2" x14ac:dyDescent="0.3">
      <c r="A84" s="1" t="s">
        <v>951</v>
      </c>
      <c r="B84" s="2" t="s">
        <v>952</v>
      </c>
    </row>
    <row r="85" spans="1:2" x14ac:dyDescent="0.3">
      <c r="A85" s="1" t="s">
        <v>1009</v>
      </c>
      <c r="B85" s="2" t="s">
        <v>1010</v>
      </c>
    </row>
    <row r="86" spans="1:2" x14ac:dyDescent="0.3">
      <c r="A86" s="1" t="s">
        <v>1749</v>
      </c>
      <c r="B86" s="2" t="s">
        <v>1750</v>
      </c>
    </row>
    <row r="87" spans="1:2" x14ac:dyDescent="0.3">
      <c r="A87" s="1" t="s">
        <v>624</v>
      </c>
      <c r="B87" s="2" t="s">
        <v>118</v>
      </c>
    </row>
    <row r="88" spans="1:2" x14ac:dyDescent="0.3">
      <c r="A88" s="1" t="s">
        <v>625</v>
      </c>
      <c r="B88" s="2" t="s">
        <v>122</v>
      </c>
    </row>
    <row r="89" spans="1:2" x14ac:dyDescent="0.3">
      <c r="A89" s="1" t="s">
        <v>626</v>
      </c>
      <c r="B89" s="2" t="s">
        <v>126</v>
      </c>
    </row>
    <row r="90" spans="1:2" x14ac:dyDescent="0.3">
      <c r="A90" s="1" t="s">
        <v>627</v>
      </c>
      <c r="B90" s="2" t="s">
        <v>130</v>
      </c>
    </row>
    <row r="91" spans="1:2" x14ac:dyDescent="0.3">
      <c r="A91" s="1" t="s">
        <v>628</v>
      </c>
      <c r="B91" s="2" t="s">
        <v>134</v>
      </c>
    </row>
    <row r="92" spans="1:2" x14ac:dyDescent="0.3">
      <c r="A92" s="1" t="s">
        <v>629</v>
      </c>
      <c r="B92" s="2" t="s">
        <v>137</v>
      </c>
    </row>
    <row r="93" spans="1:2" x14ac:dyDescent="0.3">
      <c r="A93" s="1" t="s">
        <v>630</v>
      </c>
      <c r="B93" s="2" t="s">
        <v>168</v>
      </c>
    </row>
    <row r="94" spans="1:2" x14ac:dyDescent="0.3">
      <c r="A94" s="1" t="s">
        <v>631</v>
      </c>
      <c r="B94" s="2" t="s">
        <v>172</v>
      </c>
    </row>
    <row r="95" spans="1:2" x14ac:dyDescent="0.3">
      <c r="A95" s="1" t="s">
        <v>632</v>
      </c>
      <c r="B95" s="2" t="s">
        <v>141</v>
      </c>
    </row>
    <row r="96" spans="1:2" x14ac:dyDescent="0.3">
      <c r="A96" s="1" t="s">
        <v>633</v>
      </c>
      <c r="B96" s="2" t="s">
        <v>145</v>
      </c>
    </row>
    <row r="97" spans="1:2" x14ac:dyDescent="0.3">
      <c r="A97" s="1" t="s">
        <v>634</v>
      </c>
      <c r="B97" s="2" t="s">
        <v>160</v>
      </c>
    </row>
    <row r="98" spans="1:2" x14ac:dyDescent="0.3">
      <c r="A98" s="1" t="s">
        <v>635</v>
      </c>
      <c r="B98" s="2" t="s">
        <v>164</v>
      </c>
    </row>
    <row r="99" spans="1:2" x14ac:dyDescent="0.3">
      <c r="A99" s="1" t="s">
        <v>636</v>
      </c>
      <c r="B99" s="2" t="s">
        <v>153</v>
      </c>
    </row>
    <row r="100" spans="1:2" x14ac:dyDescent="0.3">
      <c r="A100" s="1" t="s">
        <v>637</v>
      </c>
      <c r="B100" s="2" t="s">
        <v>156</v>
      </c>
    </row>
    <row r="101" spans="1:2" x14ac:dyDescent="0.3">
      <c r="A101" s="1" t="s">
        <v>638</v>
      </c>
      <c r="B101" s="2" t="s">
        <v>149</v>
      </c>
    </row>
    <row r="102" spans="1:2" x14ac:dyDescent="0.3">
      <c r="A102" s="1" t="s">
        <v>639</v>
      </c>
      <c r="B102" s="2" t="s">
        <v>953</v>
      </c>
    </row>
    <row r="103" spans="1:2" x14ac:dyDescent="0.3">
      <c r="A103" s="1" t="s">
        <v>640</v>
      </c>
      <c r="B103" s="2" t="s">
        <v>764</v>
      </c>
    </row>
    <row r="104" spans="1:2" x14ac:dyDescent="0.3">
      <c r="A104" s="1" t="s">
        <v>641</v>
      </c>
      <c r="B104" s="2" t="s">
        <v>177</v>
      </c>
    </row>
    <row r="105" spans="1:2" x14ac:dyDescent="0.3">
      <c r="A105" s="1" t="s">
        <v>642</v>
      </c>
      <c r="B105" s="2" t="s">
        <v>185</v>
      </c>
    </row>
    <row r="106" spans="1:2" x14ac:dyDescent="0.3">
      <c r="A106" s="1" t="s">
        <v>643</v>
      </c>
      <c r="B106" s="2" t="s">
        <v>188</v>
      </c>
    </row>
    <row r="107" spans="1:2" x14ac:dyDescent="0.3">
      <c r="A107" s="1" t="s">
        <v>644</v>
      </c>
      <c r="B107" s="2" t="s">
        <v>190</v>
      </c>
    </row>
    <row r="108" spans="1:2" x14ac:dyDescent="0.3">
      <c r="A108" s="1" t="s">
        <v>645</v>
      </c>
      <c r="B108" s="2" t="s">
        <v>181</v>
      </c>
    </row>
    <row r="109" spans="1:2" x14ac:dyDescent="0.3">
      <c r="A109" s="1" t="s">
        <v>646</v>
      </c>
      <c r="B109" s="2" t="s">
        <v>193</v>
      </c>
    </row>
    <row r="110" spans="1:2" x14ac:dyDescent="0.3">
      <c r="A110" s="1" t="s">
        <v>647</v>
      </c>
      <c r="B110" s="2" t="s">
        <v>196</v>
      </c>
    </row>
    <row r="111" spans="1:2" x14ac:dyDescent="0.3">
      <c r="A111" s="1" t="s">
        <v>648</v>
      </c>
      <c r="B111" s="2" t="s">
        <v>199</v>
      </c>
    </row>
    <row r="112" spans="1:2" x14ac:dyDescent="0.3">
      <c r="A112" s="1" t="s">
        <v>649</v>
      </c>
      <c r="B112" s="2" t="s">
        <v>206</v>
      </c>
    </row>
    <row r="113" spans="1:2" x14ac:dyDescent="0.3">
      <c r="A113" s="1" t="s">
        <v>650</v>
      </c>
      <c r="B113" s="2" t="s">
        <v>203</v>
      </c>
    </row>
    <row r="114" spans="1:2" x14ac:dyDescent="0.3">
      <c r="A114" s="1" t="s">
        <v>651</v>
      </c>
      <c r="B114" s="2" t="s">
        <v>211</v>
      </c>
    </row>
    <row r="115" spans="1:2" x14ac:dyDescent="0.3">
      <c r="A115" s="1" t="s">
        <v>652</v>
      </c>
      <c r="B115" s="2" t="s">
        <v>214</v>
      </c>
    </row>
    <row r="116" spans="1:2" x14ac:dyDescent="0.3">
      <c r="A116" s="1" t="s">
        <v>653</v>
      </c>
      <c r="B116" s="2" t="s">
        <v>216</v>
      </c>
    </row>
    <row r="117" spans="1:2" x14ac:dyDescent="0.3">
      <c r="A117" s="1" t="s">
        <v>654</v>
      </c>
      <c r="B117" s="2" t="s">
        <v>228</v>
      </c>
    </row>
    <row r="118" spans="1:2" x14ac:dyDescent="0.3">
      <c r="A118" s="1" t="s">
        <v>655</v>
      </c>
      <c r="B118" s="2" t="s">
        <v>220</v>
      </c>
    </row>
    <row r="119" spans="1:2" x14ac:dyDescent="0.3">
      <c r="A119" s="1" t="s">
        <v>656</v>
      </c>
      <c r="B119" s="2" t="s">
        <v>224</v>
      </c>
    </row>
    <row r="120" spans="1:2" x14ac:dyDescent="0.3">
      <c r="A120" s="1" t="s">
        <v>657</v>
      </c>
      <c r="B120" s="2" t="s">
        <v>230</v>
      </c>
    </row>
    <row r="121" spans="1:2" x14ac:dyDescent="0.3">
      <c r="A121" s="1" t="s">
        <v>658</v>
      </c>
      <c r="B121" s="2" t="s">
        <v>233</v>
      </c>
    </row>
    <row r="122" spans="1:2" x14ac:dyDescent="0.3">
      <c r="A122" s="1" t="s">
        <v>659</v>
      </c>
      <c r="B122" s="2" t="s">
        <v>237</v>
      </c>
    </row>
    <row r="123" spans="1:2" x14ac:dyDescent="0.3">
      <c r="A123" s="1" t="s">
        <v>660</v>
      </c>
      <c r="B123" s="2" t="s">
        <v>241</v>
      </c>
    </row>
    <row r="124" spans="1:2" x14ac:dyDescent="0.3">
      <c r="A124" s="1" t="s">
        <v>661</v>
      </c>
      <c r="B124" s="2" t="s">
        <v>243</v>
      </c>
    </row>
    <row r="125" spans="1:2" x14ac:dyDescent="0.3">
      <c r="A125" s="1" t="s">
        <v>664</v>
      </c>
      <c r="B125" s="2" t="s">
        <v>247</v>
      </c>
    </row>
    <row r="126" spans="1:2" x14ac:dyDescent="0.3">
      <c r="A126" s="1" t="s">
        <v>665</v>
      </c>
      <c r="B126" s="2" t="s">
        <v>98</v>
      </c>
    </row>
    <row r="127" spans="1:2" x14ac:dyDescent="0.3">
      <c r="A127" s="1" t="s">
        <v>666</v>
      </c>
      <c r="B127" s="2" t="s">
        <v>102</v>
      </c>
    </row>
    <row r="128" spans="1:2" x14ac:dyDescent="0.3">
      <c r="A128" s="1" t="s">
        <v>667</v>
      </c>
      <c r="B128" s="2" t="s">
        <v>105</v>
      </c>
    </row>
    <row r="129" spans="1:2" x14ac:dyDescent="0.3">
      <c r="A129" s="1" t="s">
        <v>668</v>
      </c>
      <c r="B129" s="2" t="s">
        <v>108</v>
      </c>
    </row>
    <row r="130" spans="1:2" x14ac:dyDescent="0.3">
      <c r="A130" s="1" t="s">
        <v>669</v>
      </c>
      <c r="B130" s="2" t="s">
        <v>161</v>
      </c>
    </row>
    <row r="131" spans="1:2" x14ac:dyDescent="0.3">
      <c r="A131" s="1" t="s">
        <v>670</v>
      </c>
      <c r="B131" s="2" t="s">
        <v>131</v>
      </c>
    </row>
    <row r="132" spans="1:2" x14ac:dyDescent="0.3">
      <c r="A132" s="1" t="s">
        <v>671</v>
      </c>
      <c r="B132" s="2" t="s">
        <v>135</v>
      </c>
    </row>
    <row r="133" spans="1:2" x14ac:dyDescent="0.3">
      <c r="A133" s="1" t="s">
        <v>672</v>
      </c>
      <c r="B133" s="2" t="s">
        <v>146</v>
      </c>
    </row>
    <row r="134" spans="1:2" x14ac:dyDescent="0.3">
      <c r="A134" s="1" t="s">
        <v>673</v>
      </c>
      <c r="B134" s="2" t="s">
        <v>150</v>
      </c>
    </row>
    <row r="135" spans="1:2" x14ac:dyDescent="0.3">
      <c r="A135" s="1" t="s">
        <v>674</v>
      </c>
      <c r="B135" s="2" t="s">
        <v>165</v>
      </c>
    </row>
    <row r="136" spans="1:2" x14ac:dyDescent="0.3">
      <c r="A136" s="1" t="s">
        <v>675</v>
      </c>
      <c r="B136" s="2" t="s">
        <v>112</v>
      </c>
    </row>
    <row r="137" spans="1:2" x14ac:dyDescent="0.3">
      <c r="A137" s="1" t="s">
        <v>676</v>
      </c>
      <c r="B137" s="2" t="s">
        <v>1726</v>
      </c>
    </row>
    <row r="138" spans="1:2" x14ac:dyDescent="0.3">
      <c r="A138" s="1" t="s">
        <v>677</v>
      </c>
      <c r="B138" s="2" t="s">
        <v>119</v>
      </c>
    </row>
    <row r="139" spans="1:2" x14ac:dyDescent="0.3">
      <c r="A139" s="1" t="s">
        <v>678</v>
      </c>
      <c r="B139" s="2" t="s">
        <v>157</v>
      </c>
    </row>
    <row r="140" spans="1:2" x14ac:dyDescent="0.3">
      <c r="A140" s="1" t="s">
        <v>679</v>
      </c>
      <c r="B140" s="2" t="s">
        <v>123</v>
      </c>
    </row>
    <row r="141" spans="1:2" x14ac:dyDescent="0.3">
      <c r="A141" s="1" t="s">
        <v>680</v>
      </c>
      <c r="B141" s="2" t="s">
        <v>127</v>
      </c>
    </row>
    <row r="142" spans="1:2" x14ac:dyDescent="0.3">
      <c r="A142" s="1" t="s">
        <v>681</v>
      </c>
      <c r="B142" s="2" t="s">
        <v>138</v>
      </c>
    </row>
    <row r="143" spans="1:2" x14ac:dyDescent="0.3">
      <c r="A143" s="1" t="s">
        <v>682</v>
      </c>
      <c r="B143" s="2" t="s">
        <v>142</v>
      </c>
    </row>
    <row r="144" spans="1:2" x14ac:dyDescent="0.3">
      <c r="A144" s="1" t="s">
        <v>683</v>
      </c>
      <c r="B144" s="2" t="s">
        <v>169</v>
      </c>
    </row>
    <row r="145" spans="1:2" x14ac:dyDescent="0.3">
      <c r="A145" s="1" t="s">
        <v>684</v>
      </c>
      <c r="B145" s="2" t="s">
        <v>154</v>
      </c>
    </row>
    <row r="146" spans="1:2" x14ac:dyDescent="0.3">
      <c r="A146" s="1" t="s">
        <v>685</v>
      </c>
      <c r="B146" s="2" t="s">
        <v>173</v>
      </c>
    </row>
    <row r="147" spans="1:2" x14ac:dyDescent="0.3">
      <c r="A147" s="1" t="s">
        <v>686</v>
      </c>
      <c r="B147" s="2" t="s">
        <v>662</v>
      </c>
    </row>
    <row r="148" spans="1:2" x14ac:dyDescent="0.3">
      <c r="A148" s="1" t="s">
        <v>1687</v>
      </c>
      <c r="B148" s="2" t="s">
        <v>1688</v>
      </c>
    </row>
    <row r="149" spans="1:2" x14ac:dyDescent="0.3">
      <c r="A149" s="1" t="s">
        <v>687</v>
      </c>
      <c r="B149" s="2" t="s">
        <v>178</v>
      </c>
    </row>
    <row r="150" spans="1:2" x14ac:dyDescent="0.3">
      <c r="A150" s="1" t="s">
        <v>688</v>
      </c>
      <c r="B150" s="2" t="s">
        <v>182</v>
      </c>
    </row>
    <row r="151" spans="1:2" x14ac:dyDescent="0.3">
      <c r="A151" s="1" t="s">
        <v>1011</v>
      </c>
      <c r="B151" s="2" t="s">
        <v>194</v>
      </c>
    </row>
    <row r="152" spans="1:2" x14ac:dyDescent="0.3">
      <c r="A152" s="1" t="s">
        <v>689</v>
      </c>
      <c r="B152" s="2" t="s">
        <v>1012</v>
      </c>
    </row>
    <row r="153" spans="1:2" x14ac:dyDescent="0.3">
      <c r="A153" s="1" t="s">
        <v>690</v>
      </c>
      <c r="B153" s="2" t="s">
        <v>200</v>
      </c>
    </row>
    <row r="154" spans="1:2" x14ac:dyDescent="0.3">
      <c r="A154" s="1" t="s">
        <v>691</v>
      </c>
      <c r="B154" s="2" t="s">
        <v>234</v>
      </c>
    </row>
    <row r="155" spans="1:2" x14ac:dyDescent="0.3">
      <c r="A155" s="1" t="s">
        <v>692</v>
      </c>
      <c r="B155" s="2" t="s">
        <v>204</v>
      </c>
    </row>
    <row r="156" spans="1:2" x14ac:dyDescent="0.3">
      <c r="A156" s="1" t="s">
        <v>693</v>
      </c>
      <c r="B156" s="2" t="s">
        <v>207</v>
      </c>
    </row>
    <row r="157" spans="1:2" x14ac:dyDescent="0.3">
      <c r="A157" s="1" t="s">
        <v>694</v>
      </c>
      <c r="B157" s="2" t="s">
        <v>209</v>
      </c>
    </row>
    <row r="158" spans="1:2" x14ac:dyDescent="0.3">
      <c r="A158" s="1" t="s">
        <v>695</v>
      </c>
      <c r="B158" s="2" t="s">
        <v>238</v>
      </c>
    </row>
    <row r="159" spans="1:2" x14ac:dyDescent="0.3">
      <c r="A159" s="1" t="s">
        <v>696</v>
      </c>
      <c r="B159" s="2" t="s">
        <v>217</v>
      </c>
    </row>
    <row r="160" spans="1:2" x14ac:dyDescent="0.3">
      <c r="A160" s="1" t="s">
        <v>697</v>
      </c>
      <c r="B160" s="2" t="s">
        <v>215</v>
      </c>
    </row>
    <row r="161" spans="1:2" x14ac:dyDescent="0.3">
      <c r="A161" s="1" t="s">
        <v>698</v>
      </c>
      <c r="B161" s="2" t="s">
        <v>221</v>
      </c>
    </row>
    <row r="162" spans="1:2" x14ac:dyDescent="0.3">
      <c r="A162" s="1" t="s">
        <v>699</v>
      </c>
      <c r="B162" s="2" t="s">
        <v>212</v>
      </c>
    </row>
    <row r="163" spans="1:2" x14ac:dyDescent="0.3">
      <c r="A163" s="1" t="s">
        <v>700</v>
      </c>
      <c r="B163" s="2" t="s">
        <v>225</v>
      </c>
    </row>
    <row r="164" spans="1:2" x14ac:dyDescent="0.3">
      <c r="A164" s="1" t="s">
        <v>701</v>
      </c>
      <c r="B164" s="2" t="s">
        <v>229</v>
      </c>
    </row>
    <row r="165" spans="1:2" x14ac:dyDescent="0.3">
      <c r="A165" s="1" t="s">
        <v>702</v>
      </c>
      <c r="B165" s="2" t="s">
        <v>231</v>
      </c>
    </row>
    <row r="166" spans="1:2" x14ac:dyDescent="0.3">
      <c r="A166" s="1" t="s">
        <v>703</v>
      </c>
      <c r="B166" s="2" t="s">
        <v>663</v>
      </c>
    </row>
    <row r="167" spans="1:2" x14ac:dyDescent="0.3">
      <c r="A167" s="1" t="s">
        <v>704</v>
      </c>
      <c r="B167" s="2" t="s">
        <v>244</v>
      </c>
    </row>
    <row r="168" spans="1:2" x14ac:dyDescent="0.3">
      <c r="A168" s="1" t="s">
        <v>705</v>
      </c>
      <c r="B168" s="2" t="s">
        <v>248</v>
      </c>
    </row>
    <row r="169" spans="1:2" x14ac:dyDescent="0.3">
      <c r="A169" s="1" t="s">
        <v>706</v>
      </c>
      <c r="B169" s="2" t="s">
        <v>99</v>
      </c>
    </row>
    <row r="170" spans="1:2" x14ac:dyDescent="0.3">
      <c r="A170" s="1" t="s">
        <v>709</v>
      </c>
      <c r="B170" s="2" t="s">
        <v>113</v>
      </c>
    </row>
    <row r="171" spans="1:2" x14ac:dyDescent="0.3">
      <c r="A171" s="1" t="s">
        <v>710</v>
      </c>
      <c r="B171" s="2" t="s">
        <v>120</v>
      </c>
    </row>
    <row r="172" spans="1:2" x14ac:dyDescent="0.3">
      <c r="A172" s="1" t="s">
        <v>711</v>
      </c>
      <c r="B172" s="2" t="s">
        <v>109</v>
      </c>
    </row>
    <row r="173" spans="1:2" x14ac:dyDescent="0.3">
      <c r="A173" s="1" t="s">
        <v>712</v>
      </c>
      <c r="B173" s="2" t="s">
        <v>124</v>
      </c>
    </row>
    <row r="174" spans="1:2" x14ac:dyDescent="0.3">
      <c r="A174" s="1" t="s">
        <v>713</v>
      </c>
      <c r="B174" s="2" t="s">
        <v>132</v>
      </c>
    </row>
    <row r="175" spans="1:2" x14ac:dyDescent="0.3">
      <c r="A175" s="1" t="s">
        <v>714</v>
      </c>
      <c r="B175" s="2" t="s">
        <v>128</v>
      </c>
    </row>
    <row r="176" spans="1:2" x14ac:dyDescent="0.3">
      <c r="A176" s="1" t="s">
        <v>715</v>
      </c>
      <c r="B176" s="2" t="s">
        <v>116</v>
      </c>
    </row>
    <row r="177" spans="1:2" x14ac:dyDescent="0.3">
      <c r="A177" s="1" t="s">
        <v>987</v>
      </c>
      <c r="B177" s="2" t="s">
        <v>990</v>
      </c>
    </row>
    <row r="178" spans="1:2" x14ac:dyDescent="0.3">
      <c r="A178" s="1" t="s">
        <v>1730</v>
      </c>
      <c r="B178" s="2" t="s">
        <v>1731</v>
      </c>
    </row>
    <row r="179" spans="1:2" x14ac:dyDescent="0.3">
      <c r="A179" s="1" t="s">
        <v>1751</v>
      </c>
      <c r="B179" s="2" t="s">
        <v>1752</v>
      </c>
    </row>
    <row r="180" spans="1:2" x14ac:dyDescent="0.3">
      <c r="A180" s="1" t="s">
        <v>716</v>
      </c>
      <c r="B180" s="2" t="s">
        <v>139</v>
      </c>
    </row>
    <row r="181" spans="1:2" x14ac:dyDescent="0.3">
      <c r="A181" s="1" t="s">
        <v>717</v>
      </c>
      <c r="B181" s="2" t="s">
        <v>143</v>
      </c>
    </row>
    <row r="182" spans="1:2" x14ac:dyDescent="0.3">
      <c r="A182" s="1" t="s">
        <v>718</v>
      </c>
      <c r="B182" s="2" t="s">
        <v>147</v>
      </c>
    </row>
    <row r="183" spans="1:2" x14ac:dyDescent="0.3">
      <c r="A183" s="1" t="s">
        <v>719</v>
      </c>
      <c r="B183" s="2" t="s">
        <v>151</v>
      </c>
    </row>
    <row r="184" spans="1:2" x14ac:dyDescent="0.3">
      <c r="A184" s="1" t="s">
        <v>720</v>
      </c>
      <c r="B184" s="2" t="s">
        <v>155</v>
      </c>
    </row>
    <row r="185" spans="1:2" x14ac:dyDescent="0.3">
      <c r="A185" s="1" t="s">
        <v>721</v>
      </c>
      <c r="B185" s="2" t="s">
        <v>158</v>
      </c>
    </row>
    <row r="186" spans="1:2" x14ac:dyDescent="0.3">
      <c r="A186" s="1" t="s">
        <v>722</v>
      </c>
      <c r="B186" s="2" t="s">
        <v>162</v>
      </c>
    </row>
    <row r="187" spans="1:2" x14ac:dyDescent="0.3">
      <c r="A187" s="1" t="s">
        <v>723</v>
      </c>
      <c r="B187" s="2" t="s">
        <v>166</v>
      </c>
    </row>
    <row r="188" spans="1:2" x14ac:dyDescent="0.3">
      <c r="A188" s="1" t="s">
        <v>724</v>
      </c>
      <c r="B188" s="2" t="s">
        <v>170</v>
      </c>
    </row>
    <row r="189" spans="1:2" x14ac:dyDescent="0.3">
      <c r="A189" s="1" t="s">
        <v>725</v>
      </c>
      <c r="B189" s="2" t="s">
        <v>175</v>
      </c>
    </row>
    <row r="190" spans="1:2" x14ac:dyDescent="0.3">
      <c r="A190" s="1" t="s">
        <v>726</v>
      </c>
      <c r="B190" s="2" t="s">
        <v>179</v>
      </c>
    </row>
    <row r="191" spans="1:2" x14ac:dyDescent="0.3">
      <c r="A191" s="1" t="s">
        <v>727</v>
      </c>
      <c r="B191" s="2" t="s">
        <v>183</v>
      </c>
    </row>
    <row r="192" spans="1:2" x14ac:dyDescent="0.3">
      <c r="A192" s="1" t="s">
        <v>728</v>
      </c>
      <c r="B192" s="2" t="s">
        <v>186</v>
      </c>
    </row>
    <row r="193" spans="1:2" x14ac:dyDescent="0.3">
      <c r="A193" s="1" t="s">
        <v>729</v>
      </c>
      <c r="B193" s="2" t="s">
        <v>191</v>
      </c>
    </row>
    <row r="194" spans="1:2" x14ac:dyDescent="0.3">
      <c r="A194" s="1" t="s">
        <v>730</v>
      </c>
      <c r="B194" s="2" t="s">
        <v>707</v>
      </c>
    </row>
    <row r="195" spans="1:2" x14ac:dyDescent="0.3">
      <c r="A195" s="1" t="s">
        <v>731</v>
      </c>
      <c r="B195" s="2" t="s">
        <v>197</v>
      </c>
    </row>
    <row r="196" spans="1:2" x14ac:dyDescent="0.3">
      <c r="A196" s="1" t="s">
        <v>732</v>
      </c>
      <c r="B196" s="2" t="s">
        <v>201</v>
      </c>
    </row>
    <row r="197" spans="1:2" x14ac:dyDescent="0.3">
      <c r="A197" s="1" t="s">
        <v>733</v>
      </c>
      <c r="B197" s="2" t="s">
        <v>1020</v>
      </c>
    </row>
    <row r="198" spans="1:2" x14ac:dyDescent="0.3">
      <c r="A198" s="1" t="s">
        <v>734</v>
      </c>
      <c r="B198" s="2" t="s">
        <v>1021</v>
      </c>
    </row>
    <row r="199" spans="1:2" x14ac:dyDescent="0.3">
      <c r="A199" s="1" t="s">
        <v>735</v>
      </c>
      <c r="B199" s="2" t="s">
        <v>1022</v>
      </c>
    </row>
    <row r="200" spans="1:2" x14ac:dyDescent="0.3">
      <c r="A200" s="1" t="s">
        <v>736</v>
      </c>
      <c r="B200" s="2" t="s">
        <v>218</v>
      </c>
    </row>
    <row r="201" spans="1:2" x14ac:dyDescent="0.3">
      <c r="A201" s="1" t="s">
        <v>737</v>
      </c>
      <c r="B201" s="2" t="s">
        <v>222</v>
      </c>
    </row>
    <row r="202" spans="1:2" x14ac:dyDescent="0.3">
      <c r="A202" s="1" t="s">
        <v>738</v>
      </c>
      <c r="B202" s="2" t="s">
        <v>226</v>
      </c>
    </row>
    <row r="203" spans="1:2" x14ac:dyDescent="0.3">
      <c r="A203" s="1" t="s">
        <v>739</v>
      </c>
      <c r="B203" s="2" t="s">
        <v>232</v>
      </c>
    </row>
    <row r="204" spans="1:2" x14ac:dyDescent="0.3">
      <c r="A204" s="1" t="s">
        <v>740</v>
      </c>
      <c r="B204" s="2" t="s">
        <v>235</v>
      </c>
    </row>
    <row r="205" spans="1:2" x14ac:dyDescent="0.3">
      <c r="A205" s="1" t="s">
        <v>741</v>
      </c>
      <c r="B205" s="2" t="s">
        <v>239</v>
      </c>
    </row>
    <row r="206" spans="1:2" x14ac:dyDescent="0.3">
      <c r="A206" s="1" t="s">
        <v>742</v>
      </c>
      <c r="B206" s="2" t="s">
        <v>245</v>
      </c>
    </row>
    <row r="207" spans="1:2" x14ac:dyDescent="0.3">
      <c r="A207" s="1" t="s">
        <v>743</v>
      </c>
      <c r="B207" s="2" t="s">
        <v>708</v>
      </c>
    </row>
    <row r="208" spans="1:2" x14ac:dyDescent="0.3">
      <c r="A208" s="1" t="s">
        <v>744</v>
      </c>
      <c r="B208" s="2" t="s">
        <v>249</v>
      </c>
    </row>
    <row r="209" spans="1:2" x14ac:dyDescent="0.3">
      <c r="A209" s="1" t="s">
        <v>1023</v>
      </c>
      <c r="B209" s="2" t="s">
        <v>258</v>
      </c>
    </row>
    <row r="210" spans="1:2" x14ac:dyDescent="0.3">
      <c r="A210" s="1" t="s">
        <v>1024</v>
      </c>
      <c r="B210" s="2" t="s">
        <v>262</v>
      </c>
    </row>
    <row r="211" spans="1:2" x14ac:dyDescent="0.3">
      <c r="A211" s="1" t="s">
        <v>1025</v>
      </c>
      <c r="B211" s="2" t="s">
        <v>265</v>
      </c>
    </row>
    <row r="212" spans="1:2" x14ac:dyDescent="0.3">
      <c r="A212" s="1" t="s">
        <v>745</v>
      </c>
      <c r="B212" s="2" t="s">
        <v>266</v>
      </c>
    </row>
    <row r="213" spans="1:2" x14ac:dyDescent="0.3">
      <c r="A213" s="1" t="s">
        <v>749</v>
      </c>
      <c r="B213" s="2" t="s">
        <v>269</v>
      </c>
    </row>
    <row r="214" spans="1:2" x14ac:dyDescent="0.3">
      <c r="A214" s="1" t="s">
        <v>750</v>
      </c>
      <c r="B214" s="2" t="s">
        <v>273</v>
      </c>
    </row>
    <row r="215" spans="1:2" x14ac:dyDescent="0.3">
      <c r="A215" s="1" t="s">
        <v>751</v>
      </c>
      <c r="B215" s="2" t="s">
        <v>277</v>
      </c>
    </row>
    <row r="216" spans="1:2" x14ac:dyDescent="0.3">
      <c r="A216" s="1" t="s">
        <v>752</v>
      </c>
      <c r="B216" s="2" t="s">
        <v>280</v>
      </c>
    </row>
    <row r="217" spans="1:2" x14ac:dyDescent="0.3">
      <c r="A217" s="1" t="s">
        <v>753</v>
      </c>
      <c r="B217" s="2" t="s">
        <v>283</v>
      </c>
    </row>
    <row r="218" spans="1:2" x14ac:dyDescent="0.3">
      <c r="A218" s="1" t="s">
        <v>754</v>
      </c>
      <c r="B218" s="2" t="s">
        <v>746</v>
      </c>
    </row>
    <row r="219" spans="1:2" x14ac:dyDescent="0.3">
      <c r="A219" s="1" t="s">
        <v>755</v>
      </c>
      <c r="B219" s="2" t="s">
        <v>290</v>
      </c>
    </row>
    <row r="220" spans="1:2" x14ac:dyDescent="0.3">
      <c r="A220" s="1" t="s">
        <v>756</v>
      </c>
      <c r="B220" s="2" t="s">
        <v>293</v>
      </c>
    </row>
    <row r="221" spans="1:2" x14ac:dyDescent="0.3">
      <c r="A221" s="1" t="s">
        <v>757</v>
      </c>
      <c r="B221" s="2" t="s">
        <v>747</v>
      </c>
    </row>
    <row r="222" spans="1:2" x14ac:dyDescent="0.3">
      <c r="A222" s="1" t="s">
        <v>758</v>
      </c>
      <c r="B222" s="2" t="s">
        <v>748</v>
      </c>
    </row>
    <row r="223" spans="1:2" x14ac:dyDescent="0.3">
      <c r="A223" s="1" t="s">
        <v>759</v>
      </c>
      <c r="B223" s="2" t="s">
        <v>300</v>
      </c>
    </row>
    <row r="224" spans="1:2" x14ac:dyDescent="0.3">
      <c r="A224" s="1" t="s">
        <v>760</v>
      </c>
      <c r="B224" s="2" t="s">
        <v>303</v>
      </c>
    </row>
    <row r="225" spans="1:2" x14ac:dyDescent="0.3">
      <c r="A225" s="1" t="s">
        <v>761</v>
      </c>
      <c r="B225" s="2" t="s">
        <v>307</v>
      </c>
    </row>
    <row r="226" spans="1:2" x14ac:dyDescent="0.3">
      <c r="A226" s="1" t="s">
        <v>762</v>
      </c>
      <c r="B226" s="2" t="s">
        <v>310</v>
      </c>
    </row>
    <row r="227" spans="1:2" x14ac:dyDescent="0.3">
      <c r="A227" s="1" t="s">
        <v>763</v>
      </c>
      <c r="B227" s="2" t="s">
        <v>315</v>
      </c>
    </row>
    <row r="228" spans="1:2" x14ac:dyDescent="0.3">
      <c r="A228" s="1" t="s">
        <v>799</v>
      </c>
      <c r="B228" s="2" t="s">
        <v>320</v>
      </c>
    </row>
    <row r="229" spans="1:2" x14ac:dyDescent="0.3">
      <c r="A229" s="1" t="s">
        <v>800</v>
      </c>
      <c r="B229" s="2" t="s">
        <v>326</v>
      </c>
    </row>
    <row r="230" spans="1:2" x14ac:dyDescent="0.3">
      <c r="A230" s="1" t="s">
        <v>801</v>
      </c>
      <c r="B230" s="2" t="s">
        <v>329</v>
      </c>
    </row>
    <row r="231" spans="1:2" x14ac:dyDescent="0.3">
      <c r="A231" s="1" t="s">
        <v>802</v>
      </c>
      <c r="B231" s="2" t="s">
        <v>332</v>
      </c>
    </row>
    <row r="232" spans="1:2" x14ac:dyDescent="0.3">
      <c r="A232" s="1" t="s">
        <v>803</v>
      </c>
      <c r="B232" s="2" t="s">
        <v>335</v>
      </c>
    </row>
    <row r="233" spans="1:2" x14ac:dyDescent="0.3">
      <c r="A233" s="1" t="s">
        <v>804</v>
      </c>
      <c r="B233" s="2" t="s">
        <v>338</v>
      </c>
    </row>
    <row r="234" spans="1:2" x14ac:dyDescent="0.3">
      <c r="A234" s="1" t="s">
        <v>805</v>
      </c>
      <c r="B234" s="2" t="s">
        <v>340</v>
      </c>
    </row>
    <row r="235" spans="1:2" x14ac:dyDescent="0.3">
      <c r="A235" s="1" t="s">
        <v>806</v>
      </c>
      <c r="B235" s="2" t="s">
        <v>345</v>
      </c>
    </row>
    <row r="236" spans="1:2" x14ac:dyDescent="0.3">
      <c r="A236" s="1" t="s">
        <v>807</v>
      </c>
      <c r="B236" s="2" t="s">
        <v>342</v>
      </c>
    </row>
    <row r="237" spans="1:2" x14ac:dyDescent="0.3">
      <c r="A237" s="1" t="s">
        <v>808</v>
      </c>
      <c r="B237" s="2" t="s">
        <v>349</v>
      </c>
    </row>
    <row r="238" spans="1:2" x14ac:dyDescent="0.3">
      <c r="A238" s="1" t="s">
        <v>809</v>
      </c>
      <c r="B238" s="2" t="s">
        <v>352</v>
      </c>
    </row>
    <row r="239" spans="1:2" x14ac:dyDescent="0.3">
      <c r="A239" s="1" t="s">
        <v>810</v>
      </c>
      <c r="B239" s="2" t="s">
        <v>356</v>
      </c>
    </row>
    <row r="240" spans="1:2" x14ac:dyDescent="0.3">
      <c r="A240" s="1" t="s">
        <v>811</v>
      </c>
      <c r="B240" s="2" t="s">
        <v>323</v>
      </c>
    </row>
    <row r="241" spans="1:2" x14ac:dyDescent="0.3">
      <c r="A241" s="1" t="s">
        <v>812</v>
      </c>
      <c r="B241" s="2" t="s">
        <v>360</v>
      </c>
    </row>
    <row r="242" spans="1:2" x14ac:dyDescent="0.3">
      <c r="A242" s="1" t="s">
        <v>1753</v>
      </c>
      <c r="B242" s="2" t="s">
        <v>1754</v>
      </c>
    </row>
    <row r="243" spans="1:2" x14ac:dyDescent="0.3">
      <c r="A243" s="1" t="s">
        <v>813</v>
      </c>
      <c r="B243" s="2" t="s">
        <v>362</v>
      </c>
    </row>
    <row r="244" spans="1:2" x14ac:dyDescent="0.3">
      <c r="A244" s="1" t="s">
        <v>814</v>
      </c>
      <c r="B244" s="2" t="s">
        <v>365</v>
      </c>
    </row>
    <row r="245" spans="1:2" x14ac:dyDescent="0.3">
      <c r="A245" s="1" t="s">
        <v>815</v>
      </c>
      <c r="B245" s="2" t="s">
        <v>370</v>
      </c>
    </row>
    <row r="246" spans="1:2" x14ac:dyDescent="0.3">
      <c r="A246" s="1" t="s">
        <v>816</v>
      </c>
      <c r="B246" s="2" t="s">
        <v>373</v>
      </c>
    </row>
    <row r="247" spans="1:2" x14ac:dyDescent="0.3">
      <c r="A247" s="1" t="s">
        <v>817</v>
      </c>
      <c r="B247" s="2" t="s">
        <v>765</v>
      </c>
    </row>
    <row r="248" spans="1:2" x14ac:dyDescent="0.3">
      <c r="A248" s="1" t="s">
        <v>818</v>
      </c>
      <c r="B248" s="2" t="s">
        <v>368</v>
      </c>
    </row>
    <row r="249" spans="1:2" x14ac:dyDescent="0.3">
      <c r="A249" s="1" t="s">
        <v>819</v>
      </c>
      <c r="B249" s="2" t="s">
        <v>766</v>
      </c>
    </row>
    <row r="250" spans="1:2" x14ac:dyDescent="0.3">
      <c r="A250" s="1" t="s">
        <v>820</v>
      </c>
      <c r="B250" s="2" t="s">
        <v>767</v>
      </c>
    </row>
    <row r="251" spans="1:2" x14ac:dyDescent="0.3">
      <c r="A251" s="1" t="s">
        <v>988</v>
      </c>
      <c r="B251" s="2" t="s">
        <v>989</v>
      </c>
    </row>
    <row r="252" spans="1:2" x14ac:dyDescent="0.3">
      <c r="A252" s="1" t="s">
        <v>1755</v>
      </c>
      <c r="B252" s="2" t="s">
        <v>1756</v>
      </c>
    </row>
    <row r="253" spans="1:2" x14ac:dyDescent="0.3">
      <c r="A253" s="1" t="s">
        <v>821</v>
      </c>
      <c r="B253" s="2" t="s">
        <v>768</v>
      </c>
    </row>
    <row r="254" spans="1:2" x14ac:dyDescent="0.3">
      <c r="A254" s="1" t="s">
        <v>822</v>
      </c>
      <c r="B254" s="2" t="s">
        <v>255</v>
      </c>
    </row>
    <row r="255" spans="1:2" x14ac:dyDescent="0.3">
      <c r="A255" s="1" t="s">
        <v>823</v>
      </c>
      <c r="B255" s="2" t="s">
        <v>259</v>
      </c>
    </row>
    <row r="256" spans="1:2" x14ac:dyDescent="0.3">
      <c r="A256" s="1" t="s">
        <v>824</v>
      </c>
      <c r="B256" s="2" t="s">
        <v>263</v>
      </c>
    </row>
    <row r="257" spans="1:2" x14ac:dyDescent="0.3">
      <c r="A257" s="1" t="s">
        <v>825</v>
      </c>
      <c r="B257" s="2" t="s">
        <v>267</v>
      </c>
    </row>
    <row r="258" spans="1:2" x14ac:dyDescent="0.3">
      <c r="A258" s="1" t="s">
        <v>826</v>
      </c>
      <c r="B258" s="2" t="s">
        <v>270</v>
      </c>
    </row>
    <row r="259" spans="1:2" x14ac:dyDescent="0.3">
      <c r="A259" s="1" t="s">
        <v>827</v>
      </c>
      <c r="B259" s="2" t="s">
        <v>274</v>
      </c>
    </row>
    <row r="260" spans="1:2" x14ac:dyDescent="0.3">
      <c r="A260" s="1" t="s">
        <v>828</v>
      </c>
      <c r="B260" s="2" t="s">
        <v>298</v>
      </c>
    </row>
    <row r="261" spans="1:2" x14ac:dyDescent="0.3">
      <c r="A261" s="1" t="s">
        <v>829</v>
      </c>
      <c r="B261" s="2" t="s">
        <v>284</v>
      </c>
    </row>
    <row r="262" spans="1:2" x14ac:dyDescent="0.3">
      <c r="A262" s="1" t="s">
        <v>830</v>
      </c>
      <c r="B262" s="2" t="s">
        <v>296</v>
      </c>
    </row>
    <row r="263" spans="1:2" x14ac:dyDescent="0.3">
      <c r="A263" s="1" t="s">
        <v>831</v>
      </c>
      <c r="B263" s="2" t="s">
        <v>287</v>
      </c>
    </row>
    <row r="264" spans="1:2" x14ac:dyDescent="0.3">
      <c r="A264" s="1" t="s">
        <v>832</v>
      </c>
      <c r="B264" s="2" t="s">
        <v>769</v>
      </c>
    </row>
    <row r="265" spans="1:2" x14ac:dyDescent="0.3">
      <c r="A265" s="1" t="s">
        <v>833</v>
      </c>
      <c r="B265" s="2" t="s">
        <v>281</v>
      </c>
    </row>
    <row r="266" spans="1:2" x14ac:dyDescent="0.3">
      <c r="A266" s="1" t="s">
        <v>834</v>
      </c>
      <c r="B266" s="2" t="s">
        <v>291</v>
      </c>
    </row>
    <row r="267" spans="1:2" x14ac:dyDescent="0.3">
      <c r="A267" s="1" t="s">
        <v>835</v>
      </c>
      <c r="B267" s="2" t="s">
        <v>294</v>
      </c>
    </row>
    <row r="268" spans="1:2" x14ac:dyDescent="0.3">
      <c r="A268" s="1" t="s">
        <v>836</v>
      </c>
      <c r="B268" s="2" t="s">
        <v>798</v>
      </c>
    </row>
    <row r="269" spans="1:2" x14ac:dyDescent="0.3">
      <c r="A269" s="1" t="s">
        <v>837</v>
      </c>
      <c r="B269" s="2" t="s">
        <v>301</v>
      </c>
    </row>
    <row r="270" spans="1:2" x14ac:dyDescent="0.3">
      <c r="A270" s="1" t="s">
        <v>838</v>
      </c>
      <c r="B270" s="2" t="s">
        <v>306</v>
      </c>
    </row>
    <row r="271" spans="1:2" x14ac:dyDescent="0.3">
      <c r="A271" s="1" t="s">
        <v>839</v>
      </c>
      <c r="B271" s="2" t="s">
        <v>304</v>
      </c>
    </row>
    <row r="272" spans="1:2" x14ac:dyDescent="0.3">
      <c r="A272" s="1" t="s">
        <v>840</v>
      </c>
      <c r="B272" s="2" t="s">
        <v>311</v>
      </c>
    </row>
    <row r="273" spans="1:2" x14ac:dyDescent="0.3">
      <c r="A273" s="1" t="s">
        <v>841</v>
      </c>
      <c r="B273" s="2" t="s">
        <v>316</v>
      </c>
    </row>
    <row r="274" spans="1:2" x14ac:dyDescent="0.3">
      <c r="A274" s="1" t="s">
        <v>842</v>
      </c>
      <c r="B274" s="2" t="s">
        <v>313</v>
      </c>
    </row>
    <row r="275" spans="1:2" x14ac:dyDescent="0.3">
      <c r="A275" s="1" t="s">
        <v>843</v>
      </c>
      <c r="B275" s="2" t="s">
        <v>308</v>
      </c>
    </row>
    <row r="276" spans="1:2" x14ac:dyDescent="0.3">
      <c r="A276" s="1" t="s">
        <v>844</v>
      </c>
      <c r="B276" s="2" t="s">
        <v>318</v>
      </c>
    </row>
    <row r="277" spans="1:2" x14ac:dyDescent="0.3">
      <c r="A277" s="1" t="s">
        <v>845</v>
      </c>
      <c r="B277" s="2" t="s">
        <v>321</v>
      </c>
    </row>
    <row r="278" spans="1:2" x14ac:dyDescent="0.3">
      <c r="A278" s="1" t="s">
        <v>846</v>
      </c>
      <c r="B278" s="2" t="s">
        <v>324</v>
      </c>
    </row>
    <row r="279" spans="1:2" x14ac:dyDescent="0.3">
      <c r="A279" s="1" t="s">
        <v>847</v>
      </c>
      <c r="B279" s="2" t="s">
        <v>327</v>
      </c>
    </row>
    <row r="280" spans="1:2" x14ac:dyDescent="0.3">
      <c r="A280" s="1" t="s">
        <v>848</v>
      </c>
      <c r="B280" s="2" t="s">
        <v>343</v>
      </c>
    </row>
    <row r="281" spans="1:2" x14ac:dyDescent="0.3">
      <c r="A281" s="1" t="s">
        <v>849</v>
      </c>
      <c r="B281" s="2" t="s">
        <v>350</v>
      </c>
    </row>
    <row r="282" spans="1:2" x14ac:dyDescent="0.3">
      <c r="A282" s="1" t="s">
        <v>850</v>
      </c>
      <c r="B282" s="2" t="s">
        <v>357</v>
      </c>
    </row>
    <row r="283" spans="1:2" x14ac:dyDescent="0.3">
      <c r="A283" s="1" t="s">
        <v>851</v>
      </c>
      <c r="B283" s="2" t="s">
        <v>363</v>
      </c>
    </row>
    <row r="284" spans="1:2" x14ac:dyDescent="0.3">
      <c r="A284" s="1" t="s">
        <v>852</v>
      </c>
      <c r="B284" s="2" t="s">
        <v>333</v>
      </c>
    </row>
    <row r="285" spans="1:2" x14ac:dyDescent="0.3">
      <c r="A285" s="1" t="s">
        <v>853</v>
      </c>
      <c r="B285" s="2" t="s">
        <v>366</v>
      </c>
    </row>
    <row r="286" spans="1:2" x14ac:dyDescent="0.3">
      <c r="A286" s="1" t="s">
        <v>854</v>
      </c>
      <c r="B286" s="2" t="s">
        <v>371</v>
      </c>
    </row>
    <row r="287" spans="1:2" x14ac:dyDescent="0.3">
      <c r="A287" s="1" t="s">
        <v>855</v>
      </c>
      <c r="B287" s="2" t="s">
        <v>369</v>
      </c>
    </row>
    <row r="288" spans="1:2" x14ac:dyDescent="0.3">
      <c r="A288" s="1" t="s">
        <v>856</v>
      </c>
      <c r="B288" s="2" t="s">
        <v>336</v>
      </c>
    </row>
    <row r="289" spans="1:2" x14ac:dyDescent="0.3">
      <c r="A289" s="1" t="s">
        <v>857</v>
      </c>
      <c r="B289" s="2" t="s">
        <v>346</v>
      </c>
    </row>
    <row r="290" spans="1:2" x14ac:dyDescent="0.3">
      <c r="A290" s="1" t="s">
        <v>858</v>
      </c>
      <c r="B290" s="2" t="s">
        <v>353</v>
      </c>
    </row>
    <row r="291" spans="1:2" x14ac:dyDescent="0.3">
      <c r="A291" s="1" t="s">
        <v>859</v>
      </c>
      <c r="B291" s="2" t="s">
        <v>770</v>
      </c>
    </row>
    <row r="292" spans="1:2" x14ac:dyDescent="0.3">
      <c r="A292" s="1" t="s">
        <v>860</v>
      </c>
      <c r="B292" s="2" t="s">
        <v>339</v>
      </c>
    </row>
    <row r="293" spans="1:2" x14ac:dyDescent="0.3">
      <c r="A293" s="1" t="s">
        <v>861</v>
      </c>
      <c r="B293" s="2" t="s">
        <v>341</v>
      </c>
    </row>
    <row r="294" spans="1:2" x14ac:dyDescent="0.3">
      <c r="A294" s="1" t="s">
        <v>862</v>
      </c>
      <c r="B294" s="2" t="s">
        <v>330</v>
      </c>
    </row>
    <row r="295" spans="1:2" x14ac:dyDescent="0.3">
      <c r="A295" s="1" t="s">
        <v>863</v>
      </c>
      <c r="B295" s="2" t="s">
        <v>771</v>
      </c>
    </row>
    <row r="296" spans="1:2" x14ac:dyDescent="0.3">
      <c r="A296" s="1" t="s">
        <v>960</v>
      </c>
      <c r="B296" s="2" t="s">
        <v>961</v>
      </c>
    </row>
    <row r="297" spans="1:2" x14ac:dyDescent="0.3">
      <c r="A297" s="1" t="s">
        <v>1757</v>
      </c>
      <c r="B297" s="2" t="s">
        <v>1758</v>
      </c>
    </row>
    <row r="298" spans="1:2" x14ac:dyDescent="0.3">
      <c r="A298" s="1" t="s">
        <v>864</v>
      </c>
      <c r="B298" s="2" t="s">
        <v>250</v>
      </c>
    </row>
    <row r="299" spans="1:2" x14ac:dyDescent="0.3">
      <c r="A299" s="1" t="s">
        <v>865</v>
      </c>
      <c r="B299" s="2" t="s">
        <v>251</v>
      </c>
    </row>
    <row r="300" spans="1:2" x14ac:dyDescent="0.3">
      <c r="A300" s="1" t="s">
        <v>866</v>
      </c>
      <c r="B300" s="2" t="s">
        <v>1793</v>
      </c>
    </row>
    <row r="301" spans="1:2" x14ac:dyDescent="0.3">
      <c r="A301" s="1" t="s">
        <v>954</v>
      </c>
      <c r="B301" s="2" t="s">
        <v>955</v>
      </c>
    </row>
    <row r="302" spans="1:2" x14ac:dyDescent="0.3">
      <c r="A302" s="1" t="s">
        <v>867</v>
      </c>
      <c r="B302" s="2" t="s">
        <v>256</v>
      </c>
    </row>
    <row r="303" spans="1:2" x14ac:dyDescent="0.3">
      <c r="A303" s="1" t="s">
        <v>868</v>
      </c>
      <c r="B303" s="2" t="s">
        <v>260</v>
      </c>
    </row>
    <row r="304" spans="1:2" x14ac:dyDescent="0.3">
      <c r="A304" s="1" t="s">
        <v>869</v>
      </c>
      <c r="B304" s="2" t="s">
        <v>264</v>
      </c>
    </row>
    <row r="305" spans="1:2" x14ac:dyDescent="0.3">
      <c r="A305" s="1" t="s">
        <v>870</v>
      </c>
      <c r="B305" s="2" t="s">
        <v>275</v>
      </c>
    </row>
    <row r="306" spans="1:2" x14ac:dyDescent="0.3">
      <c r="A306" s="1" t="s">
        <v>871</v>
      </c>
      <c r="B306" s="2" t="s">
        <v>278</v>
      </c>
    </row>
    <row r="307" spans="1:2" x14ac:dyDescent="0.3">
      <c r="A307" s="1" t="s">
        <v>872</v>
      </c>
      <c r="B307" s="2" t="s">
        <v>268</v>
      </c>
    </row>
    <row r="308" spans="1:2" x14ac:dyDescent="0.3">
      <c r="A308" s="1" t="s">
        <v>873</v>
      </c>
      <c r="B308" s="2" t="s">
        <v>772</v>
      </c>
    </row>
    <row r="309" spans="1:2" x14ac:dyDescent="0.3">
      <c r="A309" s="1" t="s">
        <v>874</v>
      </c>
      <c r="B309" s="2" t="s">
        <v>271</v>
      </c>
    </row>
    <row r="310" spans="1:2" x14ac:dyDescent="0.3">
      <c r="A310" s="1" t="s">
        <v>875</v>
      </c>
      <c r="B310" s="2" t="s">
        <v>282</v>
      </c>
    </row>
    <row r="311" spans="1:2" x14ac:dyDescent="0.3">
      <c r="A311" s="1" t="s">
        <v>876</v>
      </c>
      <c r="B311" s="2" t="s">
        <v>285</v>
      </c>
    </row>
    <row r="312" spans="1:2" x14ac:dyDescent="0.3">
      <c r="A312" s="1" t="s">
        <v>877</v>
      </c>
      <c r="B312" s="2" t="s">
        <v>288</v>
      </c>
    </row>
    <row r="313" spans="1:2" x14ac:dyDescent="0.3">
      <c r="A313" s="1" t="s">
        <v>878</v>
      </c>
      <c r="B313" s="2" t="s">
        <v>292</v>
      </c>
    </row>
    <row r="314" spans="1:2" x14ac:dyDescent="0.3">
      <c r="A314" s="1" t="s">
        <v>879</v>
      </c>
      <c r="B314" s="2" t="s">
        <v>295</v>
      </c>
    </row>
    <row r="315" spans="1:2" x14ac:dyDescent="0.3">
      <c r="A315" s="1" t="s">
        <v>880</v>
      </c>
      <c r="B315" s="2" t="s">
        <v>297</v>
      </c>
    </row>
    <row r="316" spans="1:2" x14ac:dyDescent="0.3">
      <c r="A316" s="1" t="s">
        <v>1759</v>
      </c>
      <c r="B316" s="2" t="s">
        <v>1760</v>
      </c>
    </row>
    <row r="317" spans="1:2" x14ac:dyDescent="0.3">
      <c r="A317" s="1" t="s">
        <v>881</v>
      </c>
      <c r="B317" s="2" t="s">
        <v>299</v>
      </c>
    </row>
    <row r="318" spans="1:2" x14ac:dyDescent="0.3">
      <c r="A318" s="1" t="s">
        <v>882</v>
      </c>
      <c r="B318" s="2" t="s">
        <v>302</v>
      </c>
    </row>
    <row r="319" spans="1:2" x14ac:dyDescent="0.3">
      <c r="A319" s="1" t="s">
        <v>883</v>
      </c>
      <c r="B319" s="2" t="s">
        <v>305</v>
      </c>
    </row>
    <row r="320" spans="1:2" x14ac:dyDescent="0.3">
      <c r="A320" s="1" t="s">
        <v>884</v>
      </c>
      <c r="B320" s="2" t="s">
        <v>309</v>
      </c>
    </row>
    <row r="321" spans="1:2" x14ac:dyDescent="0.3">
      <c r="A321" s="1" t="s">
        <v>885</v>
      </c>
      <c r="B321" s="2" t="s">
        <v>956</v>
      </c>
    </row>
    <row r="322" spans="1:2" x14ac:dyDescent="0.3">
      <c r="A322" s="1" t="s">
        <v>886</v>
      </c>
      <c r="B322" s="2" t="s">
        <v>312</v>
      </c>
    </row>
    <row r="323" spans="1:2" x14ac:dyDescent="0.3">
      <c r="A323" s="1" t="s">
        <v>887</v>
      </c>
      <c r="B323" s="2" t="s">
        <v>314</v>
      </c>
    </row>
    <row r="324" spans="1:2" x14ac:dyDescent="0.3">
      <c r="A324" s="1" t="s">
        <v>962</v>
      </c>
      <c r="B324" s="2" t="s">
        <v>963</v>
      </c>
    </row>
    <row r="325" spans="1:2" x14ac:dyDescent="0.3">
      <c r="A325" s="1" t="s">
        <v>888</v>
      </c>
      <c r="B325" s="2" t="s">
        <v>317</v>
      </c>
    </row>
    <row r="326" spans="1:2" x14ac:dyDescent="0.3">
      <c r="A326" s="1" t="s">
        <v>889</v>
      </c>
      <c r="B326" s="2" t="s">
        <v>322</v>
      </c>
    </row>
    <row r="327" spans="1:2" x14ac:dyDescent="0.3">
      <c r="A327" s="1" t="s">
        <v>890</v>
      </c>
      <c r="B327" s="2" t="s">
        <v>319</v>
      </c>
    </row>
    <row r="328" spans="1:2" x14ac:dyDescent="0.3">
      <c r="A328" s="1" t="s">
        <v>891</v>
      </c>
      <c r="B328" s="2" t="s">
        <v>331</v>
      </c>
    </row>
    <row r="329" spans="1:2" x14ac:dyDescent="0.3">
      <c r="A329" s="1" t="s">
        <v>892</v>
      </c>
      <c r="B329" s="2" t="s">
        <v>334</v>
      </c>
    </row>
    <row r="330" spans="1:2" x14ac:dyDescent="0.3">
      <c r="A330" s="1" t="s">
        <v>893</v>
      </c>
      <c r="B330" s="2" t="s">
        <v>328</v>
      </c>
    </row>
    <row r="331" spans="1:2" x14ac:dyDescent="0.3">
      <c r="A331" s="1" t="s">
        <v>894</v>
      </c>
      <c r="B331" s="2" t="s">
        <v>325</v>
      </c>
    </row>
    <row r="332" spans="1:2" x14ac:dyDescent="0.3">
      <c r="A332" s="1" t="s">
        <v>895</v>
      </c>
      <c r="B332" s="2" t="s">
        <v>351</v>
      </c>
    </row>
    <row r="333" spans="1:2" x14ac:dyDescent="0.3">
      <c r="A333" s="1" t="s">
        <v>1026</v>
      </c>
      <c r="B333" s="2" t="s">
        <v>337</v>
      </c>
    </row>
    <row r="334" spans="1:2" x14ac:dyDescent="0.3">
      <c r="A334" s="1" t="s">
        <v>1027</v>
      </c>
      <c r="B334" s="2" t="s">
        <v>344</v>
      </c>
    </row>
    <row r="335" spans="1:2" x14ac:dyDescent="0.3">
      <c r="A335" s="1" t="s">
        <v>1028</v>
      </c>
      <c r="B335" s="2" t="s">
        <v>347</v>
      </c>
    </row>
    <row r="336" spans="1:2" x14ac:dyDescent="0.3">
      <c r="A336" s="1" t="s">
        <v>896</v>
      </c>
      <c r="B336" s="2" t="s">
        <v>354</v>
      </c>
    </row>
    <row r="337" spans="1:2" x14ac:dyDescent="0.3">
      <c r="A337" s="1" t="s">
        <v>897</v>
      </c>
      <c r="B337" s="2" t="s">
        <v>361</v>
      </c>
    </row>
    <row r="338" spans="1:2" x14ac:dyDescent="0.3">
      <c r="A338" s="1" t="s">
        <v>898</v>
      </c>
      <c r="B338" s="2" t="s">
        <v>364</v>
      </c>
    </row>
    <row r="339" spans="1:2" x14ac:dyDescent="0.3">
      <c r="A339" s="1" t="s">
        <v>899</v>
      </c>
      <c r="B339" s="2" t="s">
        <v>358</v>
      </c>
    </row>
    <row r="340" spans="1:2" x14ac:dyDescent="0.3">
      <c r="A340" s="1" t="s">
        <v>900</v>
      </c>
      <c r="B340" s="2" t="s">
        <v>372</v>
      </c>
    </row>
    <row r="341" spans="1:2" x14ac:dyDescent="0.3">
      <c r="A341" s="1" t="s">
        <v>901</v>
      </c>
      <c r="B341" s="2" t="s">
        <v>367</v>
      </c>
    </row>
    <row r="342" spans="1:2" x14ac:dyDescent="0.3">
      <c r="A342" s="1" t="s">
        <v>902</v>
      </c>
      <c r="B342" s="2" t="s">
        <v>1724</v>
      </c>
    </row>
    <row r="343" spans="1:2" x14ac:dyDescent="0.3">
      <c r="A343" s="1" t="s">
        <v>1734</v>
      </c>
      <c r="B343" s="2" t="s">
        <v>1735</v>
      </c>
    </row>
    <row r="344" spans="1:2" x14ac:dyDescent="0.3">
      <c r="A344" s="1" t="s">
        <v>903</v>
      </c>
      <c r="B344" s="2" t="s">
        <v>261</v>
      </c>
    </row>
    <row r="345" spans="1:2" x14ac:dyDescent="0.3">
      <c r="A345" s="1" t="s">
        <v>904</v>
      </c>
      <c r="B345" s="2" t="s">
        <v>254</v>
      </c>
    </row>
    <row r="346" spans="1:2" x14ac:dyDescent="0.3">
      <c r="A346" s="1" t="s">
        <v>905</v>
      </c>
      <c r="B346" s="2" t="s">
        <v>252</v>
      </c>
    </row>
    <row r="347" spans="1:2" x14ac:dyDescent="0.3">
      <c r="A347" s="1" t="s">
        <v>906</v>
      </c>
      <c r="B347" s="2" t="s">
        <v>257</v>
      </c>
    </row>
    <row r="348" spans="1:2" x14ac:dyDescent="0.3">
      <c r="A348" s="1" t="s">
        <v>792</v>
      </c>
      <c r="B348" s="2" t="s">
        <v>773</v>
      </c>
    </row>
    <row r="349" spans="1:2" x14ac:dyDescent="0.3">
      <c r="A349" s="1" t="s">
        <v>793</v>
      </c>
      <c r="B349" s="2" t="s">
        <v>272</v>
      </c>
    </row>
    <row r="350" spans="1:2" x14ac:dyDescent="0.3">
      <c r="A350" s="1" t="s">
        <v>794</v>
      </c>
      <c r="B350" s="2" t="s">
        <v>276</v>
      </c>
    </row>
    <row r="351" spans="1:2" x14ac:dyDescent="0.3">
      <c r="A351" s="1" t="s">
        <v>795</v>
      </c>
      <c r="B351" s="2" t="s">
        <v>286</v>
      </c>
    </row>
    <row r="352" spans="1:2" x14ac:dyDescent="0.3">
      <c r="A352" s="1" t="s">
        <v>796</v>
      </c>
      <c r="B352" s="2" t="s">
        <v>1772</v>
      </c>
    </row>
    <row r="353" spans="1:2" x14ac:dyDescent="0.3">
      <c r="A353" s="1" t="s">
        <v>797</v>
      </c>
      <c r="B353" s="2" t="s">
        <v>289</v>
      </c>
    </row>
    <row r="354" spans="1:2" x14ac:dyDescent="0.3">
      <c r="A354" s="1" t="s">
        <v>1029</v>
      </c>
      <c r="B354" s="2" t="s">
        <v>1773</v>
      </c>
    </row>
    <row r="355" spans="1:2" x14ac:dyDescent="0.3">
      <c r="A355" s="1" t="s">
        <v>1030</v>
      </c>
      <c r="B355" s="2" t="s">
        <v>1031</v>
      </c>
    </row>
    <row r="356" spans="1:2" x14ac:dyDescent="0.3">
      <c r="A356" s="1" t="s">
        <v>1761</v>
      </c>
      <c r="B356" s="7" t="s">
        <v>1762</v>
      </c>
    </row>
    <row r="357" spans="1:2" x14ac:dyDescent="0.3">
      <c r="A357" s="1"/>
      <c r="B357" s="7"/>
    </row>
    <row r="358" spans="1:2" x14ac:dyDescent="0.3">
      <c r="A358" s="1"/>
      <c r="B358" s="7"/>
    </row>
    <row r="359" spans="1:2" x14ac:dyDescent="0.3">
      <c r="A359" s="1"/>
      <c r="B359" s="7"/>
    </row>
    <row r="360" spans="1:2" x14ac:dyDescent="0.3">
      <c r="A360" s="1"/>
      <c r="B360" s="7"/>
    </row>
    <row r="361" spans="1:2" x14ac:dyDescent="0.3">
      <c r="A361" s="1"/>
      <c r="B361" s="7"/>
    </row>
    <row r="362" spans="1:2" x14ac:dyDescent="0.3">
      <c r="A362" s="1"/>
      <c r="B362" s="7"/>
    </row>
    <row r="363" spans="1:2" x14ac:dyDescent="0.3">
      <c r="A363" s="1"/>
      <c r="B363" s="7"/>
    </row>
    <row r="364" spans="1:2" x14ac:dyDescent="0.3">
      <c r="A364" s="1"/>
      <c r="B364" s="7"/>
    </row>
    <row r="365" spans="1:2" x14ac:dyDescent="0.3">
      <c r="A365" s="1"/>
      <c r="B365" s="7"/>
    </row>
    <row r="366" spans="1:2" x14ac:dyDescent="0.3">
      <c r="A366" s="1"/>
      <c r="B366" s="7"/>
    </row>
    <row r="367" spans="1:2" x14ac:dyDescent="0.3">
      <c r="A367" s="1"/>
      <c r="B367" s="7"/>
    </row>
    <row r="368" spans="1:2" x14ac:dyDescent="0.3">
      <c r="A368" s="1"/>
      <c r="B368" s="7"/>
    </row>
    <row r="369" spans="1:2" x14ac:dyDescent="0.3">
      <c r="A369" s="1"/>
      <c r="B369" s="7"/>
    </row>
    <row r="370" spans="1:2" x14ac:dyDescent="0.3">
      <c r="A370" s="1"/>
      <c r="B370" s="7"/>
    </row>
    <row r="371" spans="1:2" x14ac:dyDescent="0.3">
      <c r="A371" s="1"/>
      <c r="B371" s="2"/>
    </row>
    <row r="372" spans="1:2" x14ac:dyDescent="0.3">
      <c r="A372" s="1"/>
      <c r="B372" s="2"/>
    </row>
    <row r="373" spans="1:2" x14ac:dyDescent="0.3">
      <c r="A373" s="1"/>
      <c r="B373" s="2"/>
    </row>
    <row r="374" spans="1:2" x14ac:dyDescent="0.3">
      <c r="A374" s="1"/>
      <c r="B374" s="2"/>
    </row>
    <row r="375" spans="1:2" x14ac:dyDescent="0.3">
      <c r="A375" s="1"/>
      <c r="B375" s="2"/>
    </row>
    <row r="376" spans="1:2" x14ac:dyDescent="0.3">
      <c r="A376" s="1"/>
      <c r="B376" s="2"/>
    </row>
    <row r="377" spans="1:2" x14ac:dyDescent="0.3">
      <c r="A377" s="1"/>
      <c r="B377" s="2"/>
    </row>
    <row r="378" spans="1:2" x14ac:dyDescent="0.3">
      <c r="A378" s="1"/>
      <c r="B378" s="2"/>
    </row>
    <row r="379" spans="1:2" x14ac:dyDescent="0.3">
      <c r="A379" s="1"/>
      <c r="B379" s="2"/>
    </row>
    <row r="380" spans="1:2" x14ac:dyDescent="0.3">
      <c r="A380" s="1"/>
      <c r="B380" s="2"/>
    </row>
    <row r="381" spans="1:2" x14ac:dyDescent="0.3">
      <c r="A381" s="9"/>
      <c r="B381" s="8"/>
    </row>
    <row r="382" spans="1:2" x14ac:dyDescent="0.3">
      <c r="A382" s="9"/>
      <c r="B382" s="8"/>
    </row>
  </sheetData>
  <sheetProtection algorithmName="SHA-512" hashValue="SDFBdI3mCdFQjZ/WkISOsRvVMnqW2c6wiejgDLewkcVpppmYsu7VVV0AxmOly1SB0o2ewrNo9PLesiJ4eCfFog==" saltValue="iO6/usY7WXuH8wy/lxiEnw==" spinCount="100000" sheet="1" objects="1" scenarios="1"/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/>
  <dimension ref="A1:L428"/>
  <sheetViews>
    <sheetView workbookViewId="0">
      <pane xSplit="1" ySplit="2" topLeftCell="B204" activePane="bottomRight" state="frozen"/>
      <selection activeCell="B33" sqref="B33"/>
      <selection pane="topRight" activeCell="B33" sqref="B33"/>
      <selection pane="bottomLeft" activeCell="B33" sqref="B33"/>
      <selection pane="bottomRight" activeCell="H56" sqref="H56"/>
    </sheetView>
  </sheetViews>
  <sheetFormatPr defaultRowHeight="16.5" x14ac:dyDescent="0.3"/>
  <cols>
    <col min="1" max="2" width="15.75" style="546" customWidth="1"/>
    <col min="3" max="3" width="15.75" style="555" customWidth="1"/>
    <col min="4" max="5" width="15.75" style="546" customWidth="1"/>
    <col min="6" max="8" width="15.75" style="555" customWidth="1"/>
    <col min="9" max="12" width="15.75" style="546" customWidth="1"/>
    <col min="13" max="15" width="19.75" customWidth="1"/>
  </cols>
  <sheetData>
    <row r="1" spans="1:12" ht="17.25" thickBot="1" x14ac:dyDescent="0.35">
      <c r="A1" s="576" t="s">
        <v>1334</v>
      </c>
      <c r="B1" s="577" t="s">
        <v>1102</v>
      </c>
      <c r="C1" s="574" t="s">
        <v>1048</v>
      </c>
      <c r="D1" s="573" t="s">
        <v>1302</v>
      </c>
      <c r="E1" s="573" t="s">
        <v>1302</v>
      </c>
      <c r="F1" s="574" t="s">
        <v>1437</v>
      </c>
      <c r="G1" s="574" t="s">
        <v>1437</v>
      </c>
      <c r="H1" s="574" t="s">
        <v>1437</v>
      </c>
      <c r="I1" s="573" t="s">
        <v>1582</v>
      </c>
      <c r="J1" s="573" t="s">
        <v>1582</v>
      </c>
      <c r="K1" s="573" t="s">
        <v>1582</v>
      </c>
      <c r="L1" s="575" t="s">
        <v>1582</v>
      </c>
    </row>
    <row r="2" spans="1:12" x14ac:dyDescent="0.3">
      <c r="A2" s="570" t="s">
        <v>1049</v>
      </c>
      <c r="B2" s="567" t="s">
        <v>1049</v>
      </c>
      <c r="C2" s="565" t="s">
        <v>1301</v>
      </c>
      <c r="D2" s="564" t="s">
        <v>1304</v>
      </c>
      <c r="E2" s="564" t="s">
        <v>1306</v>
      </c>
      <c r="F2" s="565" t="s">
        <v>1304</v>
      </c>
      <c r="G2" s="565" t="s">
        <v>1306</v>
      </c>
      <c r="H2" s="565" t="s">
        <v>1439</v>
      </c>
      <c r="I2" s="564" t="s">
        <v>1303</v>
      </c>
      <c r="J2" s="564" t="s">
        <v>1305</v>
      </c>
      <c r="K2" s="564" t="s">
        <v>1438</v>
      </c>
      <c r="L2" s="566" t="s">
        <v>1583</v>
      </c>
    </row>
    <row r="3" spans="1:12" x14ac:dyDescent="0.3">
      <c r="A3" s="571" t="s">
        <v>96</v>
      </c>
      <c r="B3" s="568"/>
      <c r="C3" s="562"/>
      <c r="D3" s="557"/>
      <c r="E3" s="557"/>
      <c r="F3" s="562"/>
      <c r="G3" s="562"/>
      <c r="H3" s="562"/>
      <c r="I3" s="557"/>
      <c r="J3" s="557"/>
      <c r="K3" s="557"/>
      <c r="L3" s="558"/>
    </row>
    <row r="4" spans="1:12" x14ac:dyDescent="0.3">
      <c r="A4" s="571" t="s">
        <v>100</v>
      </c>
      <c r="B4" s="568"/>
      <c r="C4" s="562"/>
      <c r="D4" s="557"/>
      <c r="E4" s="557"/>
      <c r="F4" s="562"/>
      <c r="G4" s="562"/>
      <c r="H4" s="562"/>
      <c r="I4" s="557"/>
      <c r="J4" s="557"/>
      <c r="K4" s="557"/>
      <c r="L4" s="558"/>
    </row>
    <row r="5" spans="1:12" x14ac:dyDescent="0.3">
      <c r="A5" s="571" t="s">
        <v>103</v>
      </c>
      <c r="B5" s="568"/>
      <c r="C5" s="562"/>
      <c r="D5" s="557"/>
      <c r="E5" s="557"/>
      <c r="F5" s="562"/>
      <c r="G5" s="562"/>
      <c r="H5" s="562"/>
      <c r="I5" s="557"/>
      <c r="J5" s="557"/>
      <c r="K5" s="557"/>
      <c r="L5" s="558"/>
    </row>
    <row r="6" spans="1:12" x14ac:dyDescent="0.3">
      <c r="A6" s="571" t="s">
        <v>106</v>
      </c>
      <c r="B6" s="568"/>
      <c r="C6" s="562"/>
      <c r="D6" s="557"/>
      <c r="E6" s="557"/>
      <c r="F6" s="562"/>
      <c r="G6" s="562"/>
      <c r="H6" s="562"/>
      <c r="I6" s="557"/>
      <c r="J6" s="557"/>
      <c r="K6" s="557"/>
      <c r="L6" s="558"/>
    </row>
    <row r="7" spans="1:12" x14ac:dyDescent="0.3">
      <c r="A7" s="571" t="s">
        <v>110</v>
      </c>
      <c r="B7" s="568"/>
      <c r="C7" s="562"/>
      <c r="D7" s="557"/>
      <c r="E7" s="557"/>
      <c r="F7" s="562"/>
      <c r="G7" s="562"/>
      <c r="H7" s="562"/>
      <c r="I7" s="557"/>
      <c r="J7" s="557"/>
      <c r="K7" s="557"/>
      <c r="L7" s="558"/>
    </row>
    <row r="8" spans="1:12" x14ac:dyDescent="0.3">
      <c r="A8" s="571" t="s">
        <v>114</v>
      </c>
      <c r="B8" s="568"/>
      <c r="C8" s="562"/>
      <c r="D8" s="557"/>
      <c r="E8" s="557"/>
      <c r="F8" s="562"/>
      <c r="G8" s="562"/>
      <c r="H8" s="562"/>
      <c r="I8" s="557"/>
      <c r="J8" s="557"/>
      <c r="K8" s="557"/>
      <c r="L8" s="558"/>
    </row>
    <row r="9" spans="1:12" x14ac:dyDescent="0.3">
      <c r="A9" s="571" t="s">
        <v>117</v>
      </c>
      <c r="B9" s="568"/>
      <c r="C9" s="562"/>
      <c r="D9" s="557"/>
      <c r="E9" s="557"/>
      <c r="F9" s="562"/>
      <c r="G9" s="562"/>
      <c r="H9" s="562"/>
      <c r="I9" s="557"/>
      <c r="J9" s="557"/>
      <c r="K9" s="557"/>
      <c r="L9" s="558"/>
    </row>
    <row r="10" spans="1:12" x14ac:dyDescent="0.3">
      <c r="A10" s="571" t="s">
        <v>121</v>
      </c>
      <c r="B10" s="568"/>
      <c r="C10" s="562"/>
      <c r="D10" s="557"/>
      <c r="E10" s="557"/>
      <c r="F10" s="562"/>
      <c r="G10" s="562"/>
      <c r="H10" s="562"/>
      <c r="I10" s="557"/>
      <c r="J10" s="557"/>
      <c r="K10" s="557"/>
      <c r="L10" s="558"/>
    </row>
    <row r="11" spans="1:12" x14ac:dyDescent="0.3">
      <c r="A11" s="571" t="s">
        <v>125</v>
      </c>
      <c r="B11" s="568"/>
      <c r="C11" s="562"/>
      <c r="D11" s="557"/>
      <c r="E11" s="557"/>
      <c r="F11" s="562"/>
      <c r="G11" s="562"/>
      <c r="H11" s="562"/>
      <c r="I11" s="557"/>
      <c r="J11" s="557"/>
      <c r="K11" s="557"/>
      <c r="L11" s="558"/>
    </row>
    <row r="12" spans="1:12" x14ac:dyDescent="0.3">
      <c r="A12" s="571" t="s">
        <v>129</v>
      </c>
      <c r="B12" s="568"/>
      <c r="C12" s="562"/>
      <c r="D12" s="557"/>
      <c r="E12" s="557"/>
      <c r="F12" s="562"/>
      <c r="G12" s="562"/>
      <c r="H12" s="562"/>
      <c r="I12" s="557"/>
      <c r="J12" s="557"/>
      <c r="K12" s="557"/>
      <c r="L12" s="558"/>
    </row>
    <row r="13" spans="1:12" x14ac:dyDescent="0.3">
      <c r="A13" s="571" t="s">
        <v>133</v>
      </c>
      <c r="B13" s="568"/>
      <c r="C13" s="562"/>
      <c r="D13" s="557"/>
      <c r="E13" s="557"/>
      <c r="F13" s="562"/>
      <c r="G13" s="562"/>
      <c r="H13" s="562"/>
      <c r="I13" s="557"/>
      <c r="J13" s="557"/>
      <c r="K13" s="557"/>
      <c r="L13" s="558"/>
    </row>
    <row r="14" spans="1:12" x14ac:dyDescent="0.3">
      <c r="A14" s="571" t="s">
        <v>136</v>
      </c>
      <c r="B14" s="568"/>
      <c r="C14" s="562"/>
      <c r="D14" s="557"/>
      <c r="E14" s="557"/>
      <c r="F14" s="562"/>
      <c r="G14" s="562"/>
      <c r="H14" s="562"/>
      <c r="I14" s="557"/>
      <c r="J14" s="557"/>
      <c r="K14" s="557"/>
      <c r="L14" s="558"/>
    </row>
    <row r="15" spans="1:12" x14ac:dyDescent="0.3">
      <c r="A15" s="571" t="s">
        <v>140</v>
      </c>
      <c r="B15" s="568"/>
      <c r="C15" s="562"/>
      <c r="D15" s="557"/>
      <c r="E15" s="557"/>
      <c r="F15" s="562"/>
      <c r="G15" s="562"/>
      <c r="H15" s="562"/>
      <c r="I15" s="557"/>
      <c r="J15" s="557"/>
      <c r="K15" s="557"/>
      <c r="L15" s="558"/>
    </row>
    <row r="16" spans="1:12" x14ac:dyDescent="0.3">
      <c r="A16" s="571" t="s">
        <v>144</v>
      </c>
      <c r="B16" s="568"/>
      <c r="C16" s="562"/>
      <c r="D16" s="557"/>
      <c r="E16" s="557"/>
      <c r="F16" s="562"/>
      <c r="G16" s="562"/>
      <c r="H16" s="562"/>
      <c r="I16" s="557"/>
      <c r="J16" s="557"/>
      <c r="K16" s="557"/>
      <c r="L16" s="558"/>
    </row>
    <row r="17" spans="1:12" x14ac:dyDescent="0.3">
      <c r="A17" s="571" t="s">
        <v>148</v>
      </c>
      <c r="B17" s="568"/>
      <c r="C17" s="562"/>
      <c r="D17" s="557"/>
      <c r="E17" s="557"/>
      <c r="F17" s="562"/>
      <c r="G17" s="562"/>
      <c r="H17" s="562"/>
      <c r="I17" s="557"/>
      <c r="J17" s="557"/>
      <c r="K17" s="557"/>
      <c r="L17" s="558"/>
    </row>
    <row r="18" spans="1:12" x14ac:dyDescent="0.3">
      <c r="A18" s="571" t="s">
        <v>152</v>
      </c>
      <c r="B18" s="568"/>
      <c r="C18" s="562"/>
      <c r="D18" s="557"/>
      <c r="E18" s="557"/>
      <c r="F18" s="562"/>
      <c r="G18" s="562"/>
      <c r="H18" s="562"/>
      <c r="I18" s="557"/>
      <c r="J18" s="557"/>
      <c r="K18" s="557"/>
      <c r="L18" s="558"/>
    </row>
    <row r="19" spans="1:12" x14ac:dyDescent="0.3">
      <c r="A19" s="571" t="s">
        <v>1050</v>
      </c>
      <c r="B19" s="568"/>
      <c r="C19" s="562"/>
      <c r="D19" s="557"/>
      <c r="E19" s="557"/>
      <c r="F19" s="562"/>
      <c r="G19" s="562"/>
      <c r="H19" s="562"/>
      <c r="I19" s="557"/>
      <c r="J19" s="557"/>
      <c r="K19" s="557"/>
      <c r="L19" s="558"/>
    </row>
    <row r="20" spans="1:12" x14ac:dyDescent="0.3">
      <c r="A20" s="571" t="s">
        <v>159</v>
      </c>
      <c r="B20" s="568"/>
      <c r="C20" s="562"/>
      <c r="D20" s="557"/>
      <c r="E20" s="557"/>
      <c r="F20" s="562"/>
      <c r="G20" s="562"/>
      <c r="H20" s="562"/>
      <c r="I20" s="557"/>
      <c r="J20" s="557"/>
      <c r="K20" s="557"/>
      <c r="L20" s="558"/>
    </row>
    <row r="21" spans="1:12" x14ac:dyDescent="0.3">
      <c r="A21" s="571" t="s">
        <v>171</v>
      </c>
      <c r="B21" s="568"/>
      <c r="C21" s="562"/>
      <c r="D21" s="557"/>
      <c r="E21" s="557"/>
      <c r="F21" s="562"/>
      <c r="G21" s="562"/>
      <c r="H21" s="562"/>
      <c r="I21" s="557"/>
      <c r="J21" s="557"/>
      <c r="K21" s="557"/>
      <c r="L21" s="558"/>
    </row>
    <row r="22" spans="1:12" x14ac:dyDescent="0.3">
      <c r="A22" s="571" t="s">
        <v>174</v>
      </c>
      <c r="B22" s="568"/>
      <c r="C22" s="562"/>
      <c r="D22" s="557"/>
      <c r="E22" s="557"/>
      <c r="F22" s="562"/>
      <c r="G22" s="562"/>
      <c r="H22" s="562"/>
      <c r="I22" s="557"/>
      <c r="J22" s="557"/>
      <c r="K22" s="557"/>
      <c r="L22" s="558"/>
    </row>
    <row r="23" spans="1:12" x14ac:dyDescent="0.3">
      <c r="A23" s="571" t="s">
        <v>176</v>
      </c>
      <c r="B23" s="568"/>
      <c r="C23" s="562"/>
      <c r="D23" s="557"/>
      <c r="E23" s="557"/>
      <c r="F23" s="562"/>
      <c r="G23" s="562"/>
      <c r="H23" s="562"/>
      <c r="I23" s="557"/>
      <c r="J23" s="557"/>
      <c r="K23" s="557"/>
      <c r="L23" s="558"/>
    </row>
    <row r="24" spans="1:12" x14ac:dyDescent="0.3">
      <c r="A24" s="571" t="s">
        <v>163</v>
      </c>
      <c r="B24" s="568"/>
      <c r="C24" s="562" t="s">
        <v>1177</v>
      </c>
      <c r="D24" s="557" t="s">
        <v>1177</v>
      </c>
      <c r="E24" s="557"/>
      <c r="F24" s="562"/>
      <c r="G24" s="562"/>
      <c r="H24" s="562" t="s">
        <v>163</v>
      </c>
      <c r="I24" s="557"/>
      <c r="J24" s="557"/>
      <c r="K24" s="557" t="s">
        <v>163</v>
      </c>
      <c r="L24" s="558"/>
    </row>
    <row r="25" spans="1:12" x14ac:dyDescent="0.3">
      <c r="A25" s="571" t="s">
        <v>167</v>
      </c>
      <c r="B25" s="568"/>
      <c r="C25" s="562" t="s">
        <v>1176</v>
      </c>
      <c r="D25" s="557" t="s">
        <v>1176</v>
      </c>
      <c r="E25" s="557"/>
      <c r="F25" s="562"/>
      <c r="G25" s="562"/>
      <c r="H25" s="562" t="s">
        <v>167</v>
      </c>
      <c r="I25" s="557"/>
      <c r="J25" s="557"/>
      <c r="K25" s="557" t="s">
        <v>167</v>
      </c>
      <c r="L25" s="558"/>
    </row>
    <row r="26" spans="1:12" x14ac:dyDescent="0.3">
      <c r="A26" s="571" t="s">
        <v>180</v>
      </c>
      <c r="B26" s="568"/>
      <c r="C26" s="562"/>
      <c r="D26" s="557"/>
      <c r="E26" s="557"/>
      <c r="F26" s="562"/>
      <c r="G26" s="562"/>
      <c r="H26" s="562"/>
      <c r="I26" s="557"/>
      <c r="J26" s="557"/>
      <c r="K26" s="557"/>
      <c r="L26" s="558"/>
    </row>
    <row r="27" spans="1:12" x14ac:dyDescent="0.3">
      <c r="A27" s="571" t="s">
        <v>184</v>
      </c>
      <c r="B27" s="568"/>
      <c r="C27" s="562"/>
      <c r="D27" s="557" t="s">
        <v>1390</v>
      </c>
      <c r="E27" s="557"/>
      <c r="F27" s="562"/>
      <c r="G27" s="562"/>
      <c r="H27" s="562" t="s">
        <v>184</v>
      </c>
      <c r="I27" s="557"/>
      <c r="J27" s="557"/>
      <c r="K27" s="557" t="s">
        <v>184</v>
      </c>
      <c r="L27" s="558"/>
    </row>
    <row r="28" spans="1:12" x14ac:dyDescent="0.3">
      <c r="A28" s="571" t="s">
        <v>576</v>
      </c>
      <c r="B28" s="568"/>
      <c r="C28" s="562"/>
      <c r="D28" s="557"/>
      <c r="E28" s="557"/>
      <c r="F28" s="562"/>
      <c r="G28" s="562"/>
      <c r="H28" s="562"/>
      <c r="I28" s="557"/>
      <c r="J28" s="557"/>
      <c r="K28" s="557" t="s">
        <v>1609</v>
      </c>
      <c r="L28" s="558"/>
    </row>
    <row r="29" spans="1:12" x14ac:dyDescent="0.3">
      <c r="A29" s="571"/>
      <c r="B29" s="568"/>
      <c r="C29" s="562"/>
      <c r="D29" s="557"/>
      <c r="E29" s="557"/>
      <c r="F29" s="562"/>
      <c r="G29" s="562"/>
      <c r="H29" s="562"/>
      <c r="I29" s="557"/>
      <c r="J29" s="557"/>
      <c r="K29" s="557"/>
      <c r="L29" s="558"/>
    </row>
    <row r="30" spans="1:12" x14ac:dyDescent="0.3">
      <c r="A30" s="571" t="s">
        <v>320</v>
      </c>
      <c r="B30" s="568"/>
      <c r="C30" s="562"/>
      <c r="D30" s="557"/>
      <c r="E30" s="557"/>
      <c r="F30" s="562"/>
      <c r="G30" s="562"/>
      <c r="H30" s="562"/>
      <c r="I30" s="557"/>
      <c r="J30" s="557"/>
      <c r="K30" s="557"/>
      <c r="L30" s="558"/>
    </row>
    <row r="31" spans="1:12" x14ac:dyDescent="0.3">
      <c r="A31" s="571" t="s">
        <v>326</v>
      </c>
      <c r="B31" s="568"/>
      <c r="C31" s="562"/>
      <c r="D31" s="557"/>
      <c r="E31" s="557"/>
      <c r="F31" s="562"/>
      <c r="G31" s="562"/>
      <c r="H31" s="562"/>
      <c r="I31" s="557"/>
      <c r="J31" s="557"/>
      <c r="K31" s="557"/>
      <c r="L31" s="558"/>
    </row>
    <row r="32" spans="1:12" x14ac:dyDescent="0.3">
      <c r="A32" s="571" t="s">
        <v>329</v>
      </c>
      <c r="B32" s="568"/>
      <c r="C32" s="562"/>
      <c r="D32" s="557"/>
      <c r="E32" s="557"/>
      <c r="F32" s="562"/>
      <c r="G32" s="562"/>
      <c r="H32" s="562"/>
      <c r="I32" s="557"/>
      <c r="J32" s="557"/>
      <c r="K32" s="557"/>
      <c r="L32" s="558"/>
    </row>
    <row r="33" spans="1:12" x14ac:dyDescent="0.3">
      <c r="A33" s="571" t="s">
        <v>332</v>
      </c>
      <c r="B33" s="568"/>
      <c r="C33" s="562"/>
      <c r="D33" s="557"/>
      <c r="E33" s="557"/>
      <c r="F33" s="562"/>
      <c r="G33" s="562"/>
      <c r="H33" s="562"/>
      <c r="I33" s="557"/>
      <c r="J33" s="557"/>
      <c r="K33" s="557"/>
      <c r="L33" s="558"/>
    </row>
    <row r="34" spans="1:12" x14ac:dyDescent="0.3">
      <c r="A34" s="571" t="s">
        <v>335</v>
      </c>
      <c r="B34" s="568"/>
      <c r="C34" s="562"/>
      <c r="D34" s="557"/>
      <c r="E34" s="557"/>
      <c r="F34" s="562"/>
      <c r="G34" s="562"/>
      <c r="H34" s="562"/>
      <c r="I34" s="557"/>
      <c r="J34" s="557"/>
      <c r="K34" s="557"/>
      <c r="L34" s="558"/>
    </row>
    <row r="35" spans="1:12" x14ac:dyDescent="0.3">
      <c r="A35" s="571" t="s">
        <v>338</v>
      </c>
      <c r="B35" s="568"/>
      <c r="C35" s="562"/>
      <c r="D35" s="557"/>
      <c r="E35" s="557"/>
      <c r="F35" s="562"/>
      <c r="G35" s="562"/>
      <c r="H35" s="562"/>
      <c r="I35" s="557"/>
      <c r="J35" s="557"/>
      <c r="K35" s="557"/>
      <c r="L35" s="558"/>
    </row>
    <row r="36" spans="1:12" x14ac:dyDescent="0.3">
      <c r="A36" s="571" t="s">
        <v>340</v>
      </c>
      <c r="B36" s="568"/>
      <c r="C36" s="562"/>
      <c r="D36" s="557"/>
      <c r="E36" s="557"/>
      <c r="F36" s="562"/>
      <c r="G36" s="562"/>
      <c r="H36" s="562"/>
      <c r="I36" s="557"/>
      <c r="J36" s="557"/>
      <c r="K36" s="557"/>
      <c r="L36" s="558"/>
    </row>
    <row r="37" spans="1:12" x14ac:dyDescent="0.3">
      <c r="A37" s="571" t="s">
        <v>345</v>
      </c>
      <c r="B37" s="568"/>
      <c r="C37" s="562"/>
      <c r="D37" s="557"/>
      <c r="E37" s="557"/>
      <c r="F37" s="562"/>
      <c r="G37" s="562"/>
      <c r="H37" s="562"/>
      <c r="I37" s="557"/>
      <c r="J37" s="557"/>
      <c r="K37" s="557"/>
      <c r="L37" s="558"/>
    </row>
    <row r="38" spans="1:12" x14ac:dyDescent="0.3">
      <c r="A38" s="571" t="s">
        <v>342</v>
      </c>
      <c r="B38" s="568"/>
      <c r="C38" s="562"/>
      <c r="D38" s="557"/>
      <c r="E38" s="557"/>
      <c r="F38" s="562"/>
      <c r="G38" s="562"/>
      <c r="H38" s="562"/>
      <c r="I38" s="557"/>
      <c r="J38" s="557"/>
      <c r="K38" s="557"/>
      <c r="L38" s="558"/>
    </row>
    <row r="39" spans="1:12" x14ac:dyDescent="0.3">
      <c r="A39" s="571" t="s">
        <v>349</v>
      </c>
      <c r="B39" s="568"/>
      <c r="C39" s="562"/>
      <c r="D39" s="557"/>
      <c r="E39" s="557"/>
      <c r="F39" s="562"/>
      <c r="G39" s="562"/>
      <c r="H39" s="562"/>
      <c r="I39" s="557"/>
      <c r="J39" s="557"/>
      <c r="K39" s="557"/>
      <c r="L39" s="558"/>
    </row>
    <row r="40" spans="1:12" x14ac:dyDescent="0.3">
      <c r="A40" s="571" t="s">
        <v>352</v>
      </c>
      <c r="B40" s="568"/>
      <c r="C40" s="562"/>
      <c r="D40" s="557"/>
      <c r="E40" s="557"/>
      <c r="F40" s="562"/>
      <c r="G40" s="562"/>
      <c r="H40" s="562"/>
      <c r="I40" s="557"/>
      <c r="J40" s="557"/>
      <c r="K40" s="557"/>
      <c r="L40" s="558"/>
    </row>
    <row r="41" spans="1:12" x14ac:dyDescent="0.3">
      <c r="A41" s="571" t="s">
        <v>356</v>
      </c>
      <c r="B41" s="568"/>
      <c r="C41" s="562"/>
      <c r="D41" s="557"/>
      <c r="E41" s="557"/>
      <c r="F41" s="562"/>
      <c r="G41" s="562"/>
      <c r="H41" s="562"/>
      <c r="I41" s="557"/>
      <c r="J41" s="557"/>
      <c r="K41" s="557"/>
      <c r="L41" s="558"/>
    </row>
    <row r="42" spans="1:12" x14ac:dyDescent="0.3">
      <c r="A42" s="571" t="s">
        <v>323</v>
      </c>
      <c r="B42" s="568"/>
      <c r="C42" s="562"/>
      <c r="D42" s="557"/>
      <c r="E42" s="557"/>
      <c r="F42" s="562"/>
      <c r="G42" s="562"/>
      <c r="H42" s="562"/>
      <c r="I42" s="557"/>
      <c r="J42" s="557"/>
      <c r="K42" s="557"/>
      <c r="L42" s="558"/>
    </row>
    <row r="43" spans="1:12" x14ac:dyDescent="0.3">
      <c r="A43" s="571" t="s">
        <v>360</v>
      </c>
      <c r="B43" s="568"/>
      <c r="C43" s="562"/>
      <c r="D43" s="557"/>
      <c r="E43" s="557"/>
      <c r="F43" s="562"/>
      <c r="G43" s="562" t="s">
        <v>1628</v>
      </c>
      <c r="H43" s="562"/>
      <c r="I43" s="557"/>
      <c r="J43" s="557" t="s">
        <v>1629</v>
      </c>
      <c r="K43" s="557"/>
      <c r="L43" s="558"/>
    </row>
    <row r="44" spans="1:12" x14ac:dyDescent="0.3">
      <c r="A44" s="571"/>
      <c r="B44" s="568"/>
      <c r="C44" s="562"/>
      <c r="D44" s="557"/>
      <c r="E44" s="557"/>
      <c r="F44" s="562"/>
      <c r="G44" s="562"/>
      <c r="H44" s="562"/>
      <c r="I44" s="557"/>
      <c r="J44" s="557"/>
      <c r="K44" s="557"/>
      <c r="L44" s="558"/>
    </row>
    <row r="45" spans="1:12" x14ac:dyDescent="0.3">
      <c r="A45" s="571" t="s">
        <v>1051</v>
      </c>
      <c r="B45" s="568" t="s">
        <v>1051</v>
      </c>
      <c r="C45" s="562" t="s">
        <v>1051</v>
      </c>
      <c r="D45" s="557" t="s">
        <v>1352</v>
      </c>
      <c r="E45" s="557" t="s">
        <v>1354</v>
      </c>
      <c r="F45" s="562" t="s">
        <v>1352</v>
      </c>
      <c r="G45" s="562" t="s">
        <v>1354</v>
      </c>
      <c r="H45" s="562" t="s">
        <v>1478</v>
      </c>
      <c r="I45" s="557" t="s">
        <v>1351</v>
      </c>
      <c r="J45" s="557" t="s">
        <v>1353</v>
      </c>
      <c r="K45" s="557" t="s">
        <v>1477</v>
      </c>
      <c r="L45" s="558" t="s">
        <v>1588</v>
      </c>
    </row>
    <row r="46" spans="1:12" x14ac:dyDescent="0.3">
      <c r="A46" s="571" t="s">
        <v>187</v>
      </c>
      <c r="B46" s="568"/>
      <c r="C46" s="562"/>
      <c r="D46" s="557"/>
      <c r="E46" s="557"/>
      <c r="F46" s="562"/>
      <c r="G46" s="562"/>
      <c r="H46" s="562"/>
      <c r="I46" s="557"/>
      <c r="J46" s="557"/>
      <c r="K46" s="557"/>
      <c r="L46" s="558"/>
    </row>
    <row r="47" spans="1:12" x14ac:dyDescent="0.3">
      <c r="A47" s="571" t="s">
        <v>189</v>
      </c>
      <c r="B47" s="568"/>
      <c r="C47" s="562"/>
      <c r="D47" s="557"/>
      <c r="E47" s="557"/>
      <c r="F47" s="562"/>
      <c r="G47" s="562"/>
      <c r="H47" s="562"/>
      <c r="I47" s="557"/>
      <c r="J47" s="557"/>
      <c r="K47" s="557"/>
      <c r="L47" s="558"/>
    </row>
    <row r="48" spans="1:12" x14ac:dyDescent="0.3">
      <c r="A48" s="571" t="s">
        <v>192</v>
      </c>
      <c r="B48" s="568"/>
      <c r="C48" s="562"/>
      <c r="D48" s="557"/>
      <c r="E48" s="557"/>
      <c r="F48" s="562"/>
      <c r="G48" s="562"/>
      <c r="H48" s="562"/>
      <c r="I48" s="557"/>
      <c r="J48" s="557"/>
      <c r="K48" s="557"/>
      <c r="L48" s="558"/>
    </row>
    <row r="49" spans="1:12" x14ac:dyDescent="0.3">
      <c r="A49" s="571" t="s">
        <v>195</v>
      </c>
      <c r="B49" s="568"/>
      <c r="C49" s="562"/>
      <c r="D49" s="557"/>
      <c r="E49" s="557"/>
      <c r="F49" s="562"/>
      <c r="G49" s="562"/>
      <c r="H49" s="562"/>
      <c r="I49" s="557"/>
      <c r="J49" s="557"/>
      <c r="K49" s="557"/>
      <c r="L49" s="558"/>
    </row>
    <row r="50" spans="1:12" x14ac:dyDescent="0.3">
      <c r="A50" s="571" t="s">
        <v>198</v>
      </c>
      <c r="B50" s="568"/>
      <c r="C50" s="562"/>
      <c r="D50" s="557"/>
      <c r="E50" s="557"/>
      <c r="F50" s="562"/>
      <c r="G50" s="562"/>
      <c r="H50" s="562"/>
      <c r="I50" s="557"/>
      <c r="J50" s="557"/>
      <c r="K50" s="557"/>
      <c r="L50" s="558"/>
    </row>
    <row r="51" spans="1:12" x14ac:dyDescent="0.3">
      <c r="A51" s="571" t="s">
        <v>202</v>
      </c>
      <c r="B51" s="568"/>
      <c r="C51" s="562"/>
      <c r="D51" s="557"/>
      <c r="E51" s="557"/>
      <c r="F51" s="562"/>
      <c r="G51" s="562"/>
      <c r="H51" s="562"/>
      <c r="I51" s="557"/>
      <c r="J51" s="557"/>
      <c r="K51" s="557"/>
      <c r="L51" s="558"/>
    </row>
    <row r="52" spans="1:12" x14ac:dyDescent="0.3">
      <c r="A52" s="571" t="s">
        <v>205</v>
      </c>
      <c r="B52" s="568"/>
      <c r="C52" s="562"/>
      <c r="D52" s="557"/>
      <c r="E52" s="557"/>
      <c r="F52" s="562"/>
      <c r="G52" s="562"/>
      <c r="H52" s="562"/>
      <c r="I52" s="557"/>
      <c r="J52" s="557"/>
      <c r="K52" s="557"/>
      <c r="L52" s="558"/>
    </row>
    <row r="53" spans="1:12" x14ac:dyDescent="0.3">
      <c r="A53" s="571" t="s">
        <v>208</v>
      </c>
      <c r="B53" s="568"/>
      <c r="C53" s="562"/>
      <c r="D53" s="557"/>
      <c r="E53" s="557"/>
      <c r="F53" s="562"/>
      <c r="G53" s="562"/>
      <c r="H53" s="562"/>
      <c r="I53" s="557"/>
      <c r="J53" s="557"/>
      <c r="K53" s="557"/>
      <c r="L53" s="558"/>
    </row>
    <row r="54" spans="1:12" x14ac:dyDescent="0.3">
      <c r="A54" s="571" t="s">
        <v>210</v>
      </c>
      <c r="B54" s="568"/>
      <c r="C54" s="562"/>
      <c r="D54" s="557"/>
      <c r="E54" s="557"/>
      <c r="F54" s="562"/>
      <c r="G54" s="562"/>
      <c r="H54" s="562"/>
      <c r="I54" s="557"/>
      <c r="J54" s="557"/>
      <c r="K54" s="557"/>
      <c r="L54" s="558"/>
    </row>
    <row r="55" spans="1:12" x14ac:dyDescent="0.3">
      <c r="A55" s="571" t="s">
        <v>213</v>
      </c>
      <c r="B55" s="568"/>
      <c r="C55" s="562"/>
      <c r="D55" s="557"/>
      <c r="E55" s="557"/>
      <c r="F55" s="562"/>
      <c r="G55" s="562"/>
      <c r="H55" s="562"/>
      <c r="I55" s="557"/>
      <c r="J55" s="557"/>
      <c r="K55" s="557"/>
      <c r="L55" s="558"/>
    </row>
    <row r="56" spans="1:12" x14ac:dyDescent="0.3">
      <c r="A56" s="571" t="s">
        <v>1052</v>
      </c>
      <c r="B56" s="568"/>
      <c r="C56" s="562"/>
      <c r="D56" s="557"/>
      <c r="E56" s="557"/>
      <c r="F56" s="562"/>
      <c r="G56" s="562"/>
      <c r="H56" s="562"/>
      <c r="I56" s="557"/>
      <c r="J56" s="557"/>
      <c r="K56" s="557"/>
      <c r="L56" s="558"/>
    </row>
    <row r="57" spans="1:12" x14ac:dyDescent="0.3">
      <c r="A57" s="571" t="s">
        <v>219</v>
      </c>
      <c r="B57" s="568"/>
      <c r="C57" s="562" t="s">
        <v>1119</v>
      </c>
      <c r="D57" s="557"/>
      <c r="E57" s="557" t="s">
        <v>1119</v>
      </c>
      <c r="F57" s="562"/>
      <c r="G57" s="562"/>
      <c r="H57" s="562" t="s">
        <v>1119</v>
      </c>
      <c r="I57" s="557"/>
      <c r="J57" s="557"/>
      <c r="K57" s="557" t="s">
        <v>219</v>
      </c>
      <c r="L57" s="558"/>
    </row>
    <row r="58" spans="1:12" x14ac:dyDescent="0.3">
      <c r="A58" s="571" t="s">
        <v>223</v>
      </c>
      <c r="B58" s="568"/>
      <c r="C58" s="562" t="s">
        <v>1120</v>
      </c>
      <c r="D58" s="557"/>
      <c r="E58" s="557" t="s">
        <v>1356</v>
      </c>
      <c r="F58" s="562"/>
      <c r="G58" s="562"/>
      <c r="H58" s="562" t="s">
        <v>1356</v>
      </c>
      <c r="I58" s="557"/>
      <c r="J58" s="557"/>
      <c r="K58" s="557" t="s">
        <v>223</v>
      </c>
      <c r="L58" s="558"/>
    </row>
    <row r="59" spans="1:12" x14ac:dyDescent="0.3">
      <c r="A59" s="571" t="s">
        <v>240</v>
      </c>
      <c r="B59" s="568"/>
      <c r="C59" s="562" t="s">
        <v>1132</v>
      </c>
      <c r="D59" s="557"/>
      <c r="E59" s="557" t="s">
        <v>1355</v>
      </c>
      <c r="F59" s="562"/>
      <c r="G59" s="562"/>
      <c r="H59" s="562" t="s">
        <v>1355</v>
      </c>
      <c r="I59" s="557"/>
      <c r="J59" s="557"/>
      <c r="K59" s="557" t="s">
        <v>240</v>
      </c>
      <c r="L59" s="558"/>
    </row>
    <row r="60" spans="1:12" x14ac:dyDescent="0.3">
      <c r="A60" s="571" t="s">
        <v>236</v>
      </c>
      <c r="B60" s="568"/>
      <c r="C60" s="562" t="s">
        <v>1121</v>
      </c>
      <c r="D60" s="557"/>
      <c r="E60" s="557" t="s">
        <v>1357</v>
      </c>
      <c r="F60" s="562"/>
      <c r="G60" s="562"/>
      <c r="H60" s="562" t="s">
        <v>1357</v>
      </c>
      <c r="I60" s="557"/>
      <c r="J60" s="557"/>
      <c r="K60" s="557" t="s">
        <v>236</v>
      </c>
      <c r="L60" s="558"/>
    </row>
    <row r="61" spans="1:12" x14ac:dyDescent="0.3">
      <c r="A61" s="571" t="s">
        <v>227</v>
      </c>
      <c r="B61" s="568" t="s">
        <v>227</v>
      </c>
      <c r="C61" s="562" t="s">
        <v>227</v>
      </c>
      <c r="D61" s="557" t="s">
        <v>1358</v>
      </c>
      <c r="E61" s="557"/>
      <c r="F61" s="562"/>
      <c r="G61" s="562" t="s">
        <v>1481</v>
      </c>
      <c r="H61" s="562"/>
      <c r="I61" s="557"/>
      <c r="J61" s="557" t="s">
        <v>227</v>
      </c>
      <c r="K61" s="557"/>
      <c r="L61" s="558"/>
    </row>
    <row r="62" spans="1:12" x14ac:dyDescent="0.3">
      <c r="A62" s="571" t="s">
        <v>1053</v>
      </c>
      <c r="B62" s="568" t="s">
        <v>1053</v>
      </c>
      <c r="C62" s="562" t="s">
        <v>1053</v>
      </c>
      <c r="D62" s="557" t="s">
        <v>1053</v>
      </c>
      <c r="E62" s="557"/>
      <c r="F62" s="562"/>
      <c r="G62" s="562" t="s">
        <v>1479</v>
      </c>
      <c r="H62" s="562"/>
      <c r="I62" s="557"/>
      <c r="J62" s="557" t="s">
        <v>1053</v>
      </c>
      <c r="K62" s="557"/>
      <c r="L62" s="558"/>
    </row>
    <row r="63" spans="1:12" x14ac:dyDescent="0.3">
      <c r="A63" s="571" t="s">
        <v>1054</v>
      </c>
      <c r="B63" s="568" t="s">
        <v>1054</v>
      </c>
      <c r="C63" s="562" t="s">
        <v>1054</v>
      </c>
      <c r="D63" s="557" t="s">
        <v>1054</v>
      </c>
      <c r="E63" s="557"/>
      <c r="F63" s="562"/>
      <c r="G63" s="562" t="s">
        <v>1480</v>
      </c>
      <c r="H63" s="562"/>
      <c r="I63" s="557"/>
      <c r="J63" s="557" t="s">
        <v>1054</v>
      </c>
      <c r="K63" s="557"/>
      <c r="L63" s="558"/>
    </row>
    <row r="64" spans="1:12" x14ac:dyDescent="0.3">
      <c r="A64" s="571" t="s">
        <v>131</v>
      </c>
      <c r="B64" s="568"/>
      <c r="C64" s="562"/>
      <c r="D64" s="557"/>
      <c r="E64" s="557"/>
      <c r="F64" s="562"/>
      <c r="G64" s="562"/>
      <c r="H64" s="562"/>
      <c r="I64" s="557"/>
      <c r="J64" s="557"/>
      <c r="K64" s="557"/>
      <c r="L64" s="558"/>
    </row>
    <row r="65" spans="1:12" x14ac:dyDescent="0.3">
      <c r="A65" s="571" t="s">
        <v>1055</v>
      </c>
      <c r="B65" s="568"/>
      <c r="C65" s="562"/>
      <c r="D65" s="557"/>
      <c r="E65" s="557"/>
      <c r="F65" s="562"/>
      <c r="G65" s="562"/>
      <c r="H65" s="562"/>
      <c r="I65" s="557"/>
      <c r="J65" s="557" t="s">
        <v>1589</v>
      </c>
      <c r="K65" s="557"/>
      <c r="L65" s="558"/>
    </row>
    <row r="66" spans="1:12" x14ac:dyDescent="0.3">
      <c r="A66" s="571"/>
      <c r="B66" s="568" t="s">
        <v>1118</v>
      </c>
      <c r="C66" s="562" t="s">
        <v>1118</v>
      </c>
      <c r="D66" s="557"/>
      <c r="E66" s="557"/>
      <c r="F66" s="562"/>
      <c r="G66" s="562"/>
      <c r="H66" s="562"/>
      <c r="I66" s="557"/>
      <c r="J66" s="557"/>
      <c r="K66" s="557"/>
      <c r="L66" s="558"/>
    </row>
    <row r="67" spans="1:12" x14ac:dyDescent="0.3">
      <c r="A67" s="571"/>
      <c r="B67" s="568"/>
      <c r="C67" s="562"/>
      <c r="D67" s="557"/>
      <c r="E67" s="557"/>
      <c r="F67" s="562"/>
      <c r="G67" s="562"/>
      <c r="H67" s="562"/>
      <c r="I67" s="557"/>
      <c r="J67" s="557"/>
      <c r="K67" s="557"/>
      <c r="L67" s="558"/>
    </row>
    <row r="68" spans="1:12" x14ac:dyDescent="0.3">
      <c r="A68" s="571" t="s">
        <v>1122</v>
      </c>
      <c r="B68" s="568"/>
      <c r="C68" s="562"/>
      <c r="D68" s="557"/>
      <c r="E68" s="557"/>
      <c r="F68" s="562"/>
      <c r="G68" s="562"/>
      <c r="H68" s="562"/>
      <c r="I68" s="557"/>
      <c r="J68" s="557"/>
      <c r="K68" s="557"/>
      <c r="L68" s="558"/>
    </row>
    <row r="69" spans="1:12" x14ac:dyDescent="0.3">
      <c r="A69" s="571" t="s">
        <v>1123</v>
      </c>
      <c r="B69" s="568"/>
      <c r="C69" s="562"/>
      <c r="D69" s="557"/>
      <c r="E69" s="557"/>
      <c r="F69" s="562"/>
      <c r="G69" s="562"/>
      <c r="H69" s="562"/>
      <c r="I69" s="557"/>
      <c r="J69" s="557"/>
      <c r="K69" s="557"/>
      <c r="L69" s="558"/>
    </row>
    <row r="70" spans="1:12" x14ac:dyDescent="0.3">
      <c r="A70" s="571" t="s">
        <v>1124</v>
      </c>
      <c r="B70" s="568"/>
      <c r="C70" s="562"/>
      <c r="D70" s="557"/>
      <c r="E70" s="557"/>
      <c r="F70" s="562"/>
      <c r="G70" s="562"/>
      <c r="H70" s="562"/>
      <c r="I70" s="557"/>
      <c r="J70" s="557"/>
      <c r="K70" s="557"/>
      <c r="L70" s="558"/>
    </row>
    <row r="71" spans="1:12" x14ac:dyDescent="0.3">
      <c r="A71" s="571" t="s">
        <v>1125</v>
      </c>
      <c r="B71" s="568"/>
      <c r="C71" s="562"/>
      <c r="D71" s="557"/>
      <c r="E71" s="557"/>
      <c r="F71" s="562"/>
      <c r="G71" s="562"/>
      <c r="H71" s="562"/>
      <c r="I71" s="557"/>
      <c r="J71" s="557"/>
      <c r="K71" s="557"/>
      <c r="L71" s="558"/>
    </row>
    <row r="72" spans="1:12" x14ac:dyDescent="0.3">
      <c r="A72" s="571" t="s">
        <v>1126</v>
      </c>
      <c r="B72" s="568"/>
      <c r="C72" s="562"/>
      <c r="D72" s="557"/>
      <c r="E72" s="557"/>
      <c r="F72" s="562"/>
      <c r="G72" s="562"/>
      <c r="H72" s="562"/>
      <c r="I72" s="557"/>
      <c r="J72" s="557"/>
      <c r="K72" s="557"/>
      <c r="L72" s="558"/>
    </row>
    <row r="73" spans="1:12" x14ac:dyDescent="0.3">
      <c r="A73" s="571" t="s">
        <v>1127</v>
      </c>
      <c r="B73" s="568"/>
      <c r="C73" s="562"/>
      <c r="D73" s="557"/>
      <c r="E73" s="557"/>
      <c r="F73" s="562"/>
      <c r="G73" s="562"/>
      <c r="H73" s="562"/>
      <c r="I73" s="557"/>
      <c r="J73" s="557"/>
      <c r="K73" s="557"/>
      <c r="L73" s="558"/>
    </row>
    <row r="74" spans="1:12" x14ac:dyDescent="0.3">
      <c r="A74" s="571" t="s">
        <v>1128</v>
      </c>
      <c r="B74" s="568"/>
      <c r="C74" s="562" t="s">
        <v>1131</v>
      </c>
      <c r="D74" s="557"/>
      <c r="E74" s="557" t="s">
        <v>1131</v>
      </c>
      <c r="F74" s="562"/>
      <c r="G74" s="562"/>
      <c r="H74" s="562" t="s">
        <v>1131</v>
      </c>
      <c r="I74" s="557"/>
      <c r="J74" s="557"/>
      <c r="K74" s="557" t="s">
        <v>766</v>
      </c>
      <c r="L74" s="558"/>
    </row>
    <row r="75" spans="1:12" x14ac:dyDescent="0.3">
      <c r="A75" s="571" t="s">
        <v>1129</v>
      </c>
      <c r="B75" s="568"/>
      <c r="C75" s="562"/>
      <c r="D75" s="557" t="s">
        <v>1129</v>
      </c>
      <c r="E75" s="557"/>
      <c r="F75" s="562"/>
      <c r="G75" s="562" t="s">
        <v>1129</v>
      </c>
      <c r="H75" s="562"/>
      <c r="I75" s="557"/>
      <c r="J75" s="557" t="s">
        <v>767</v>
      </c>
      <c r="K75" s="557"/>
      <c r="L75" s="558"/>
    </row>
    <row r="76" spans="1:12" x14ac:dyDescent="0.3">
      <c r="A76" s="571" t="s">
        <v>1130</v>
      </c>
      <c r="B76" s="568"/>
      <c r="C76" s="562"/>
      <c r="D76" s="557"/>
      <c r="E76" s="557"/>
      <c r="F76" s="562"/>
      <c r="G76" s="562"/>
      <c r="H76" s="562"/>
      <c r="I76" s="557"/>
      <c r="J76" s="557"/>
      <c r="K76" s="557"/>
      <c r="L76" s="558"/>
    </row>
    <row r="77" spans="1:12" x14ac:dyDescent="0.3">
      <c r="A77" s="571"/>
      <c r="B77" s="568"/>
      <c r="C77" s="562"/>
      <c r="D77" s="557"/>
      <c r="E77" s="557"/>
      <c r="F77" s="562"/>
      <c r="G77" s="562"/>
      <c r="H77" s="562"/>
      <c r="I77" s="557"/>
      <c r="J77" s="557"/>
      <c r="K77" s="557"/>
      <c r="L77" s="558"/>
    </row>
    <row r="78" spans="1:12" x14ac:dyDescent="0.3">
      <c r="A78" s="571" t="s">
        <v>1056</v>
      </c>
      <c r="B78" s="568" t="s">
        <v>1056</v>
      </c>
      <c r="C78" s="562" t="s">
        <v>1056</v>
      </c>
      <c r="D78" s="557" t="s">
        <v>1383</v>
      </c>
      <c r="E78" s="557" t="s">
        <v>1385</v>
      </c>
      <c r="F78" s="562" t="s">
        <v>1383</v>
      </c>
      <c r="G78" s="562" t="s">
        <v>1385</v>
      </c>
      <c r="H78" s="562" t="s">
        <v>1518</v>
      </c>
      <c r="I78" s="557" t="s">
        <v>1382</v>
      </c>
      <c r="J78" s="557" t="s">
        <v>1384</v>
      </c>
      <c r="K78" s="557" t="s">
        <v>1517</v>
      </c>
      <c r="L78" s="558" t="s">
        <v>1606</v>
      </c>
    </row>
    <row r="79" spans="1:12" x14ac:dyDescent="0.3">
      <c r="A79" s="571" t="s">
        <v>242</v>
      </c>
      <c r="B79" s="568"/>
      <c r="C79" s="562"/>
      <c r="D79" s="557"/>
      <c r="E79" s="557"/>
      <c r="F79" s="562"/>
      <c r="G79" s="562"/>
      <c r="H79" s="562"/>
      <c r="I79" s="557"/>
      <c r="J79" s="557"/>
      <c r="K79" s="557"/>
      <c r="L79" s="558"/>
    </row>
    <row r="80" spans="1:12" x14ac:dyDescent="0.3">
      <c r="A80" s="571" t="s">
        <v>246</v>
      </c>
      <c r="B80" s="568"/>
      <c r="C80" s="562"/>
      <c r="D80" s="557"/>
      <c r="E80" s="557"/>
      <c r="F80" s="562"/>
      <c r="G80" s="562"/>
      <c r="H80" s="562"/>
      <c r="I80" s="557"/>
      <c r="J80" s="557"/>
      <c r="K80" s="557"/>
      <c r="L80" s="558"/>
    </row>
    <row r="81" spans="1:12" x14ac:dyDescent="0.3">
      <c r="A81" s="571" t="s">
        <v>97</v>
      </c>
      <c r="B81" s="568"/>
      <c r="C81" s="562"/>
      <c r="D81" s="557"/>
      <c r="E81" s="557"/>
      <c r="F81" s="562"/>
      <c r="G81" s="562"/>
      <c r="H81" s="562"/>
      <c r="I81" s="557"/>
      <c r="J81" s="557"/>
      <c r="K81" s="557"/>
      <c r="L81" s="558"/>
    </row>
    <row r="82" spans="1:12" x14ac:dyDescent="0.3">
      <c r="A82" s="571" t="s">
        <v>101</v>
      </c>
      <c r="B82" s="568"/>
      <c r="C82" s="562"/>
      <c r="D82" s="557"/>
      <c r="E82" s="557"/>
      <c r="F82" s="562"/>
      <c r="G82" s="562"/>
      <c r="H82" s="562"/>
      <c r="I82" s="557"/>
      <c r="J82" s="557"/>
      <c r="K82" s="557"/>
      <c r="L82" s="558"/>
    </row>
    <row r="83" spans="1:12" x14ac:dyDescent="0.3">
      <c r="A83" s="571" t="s">
        <v>104</v>
      </c>
      <c r="B83" s="568"/>
      <c r="C83" s="562" t="s">
        <v>1174</v>
      </c>
      <c r="D83" s="557"/>
      <c r="E83" s="557" t="s">
        <v>1386</v>
      </c>
      <c r="F83" s="562"/>
      <c r="G83" s="562"/>
      <c r="H83" s="562" t="s">
        <v>1174</v>
      </c>
      <c r="I83" s="557"/>
      <c r="J83" s="557"/>
      <c r="K83" s="557" t="s">
        <v>104</v>
      </c>
      <c r="L83" s="558"/>
    </row>
    <row r="84" spans="1:12" x14ac:dyDescent="0.3">
      <c r="A84" s="571" t="s">
        <v>107</v>
      </c>
      <c r="B84" s="568"/>
      <c r="C84" s="562"/>
      <c r="D84" s="557"/>
      <c r="E84" s="557"/>
      <c r="F84" s="562"/>
      <c r="G84" s="562"/>
      <c r="H84" s="562"/>
      <c r="I84" s="557"/>
      <c r="J84" s="557"/>
      <c r="K84" s="557"/>
      <c r="L84" s="558"/>
    </row>
    <row r="85" spans="1:12" x14ac:dyDescent="0.3">
      <c r="A85" s="571" t="s">
        <v>111</v>
      </c>
      <c r="B85" s="568"/>
      <c r="C85" s="562"/>
      <c r="D85" s="557"/>
      <c r="E85" s="557" t="s">
        <v>1389</v>
      </c>
      <c r="F85" s="562"/>
      <c r="G85" s="562"/>
      <c r="H85" s="562" t="s">
        <v>1519</v>
      </c>
      <c r="I85" s="557"/>
      <c r="J85" s="557"/>
      <c r="K85" s="557" t="s">
        <v>111</v>
      </c>
      <c r="L85" s="558"/>
    </row>
    <row r="86" spans="1:12" x14ac:dyDescent="0.3">
      <c r="A86" s="571" t="s">
        <v>1607</v>
      </c>
      <c r="B86" s="568"/>
      <c r="C86" s="562"/>
      <c r="D86" s="557"/>
      <c r="E86" s="557"/>
      <c r="F86" s="562"/>
      <c r="G86" s="562"/>
      <c r="H86" s="562"/>
      <c r="I86" s="557"/>
      <c r="J86" s="557"/>
      <c r="K86" s="557" t="s">
        <v>1608</v>
      </c>
      <c r="L86" s="558"/>
    </row>
    <row r="87" spans="1:12" x14ac:dyDescent="0.3">
      <c r="A87" s="571"/>
      <c r="B87" s="568"/>
      <c r="C87" s="562"/>
      <c r="D87" s="557"/>
      <c r="E87" s="557"/>
      <c r="F87" s="562"/>
      <c r="G87" s="562"/>
      <c r="H87" s="562"/>
      <c r="I87" s="557"/>
      <c r="J87" s="557"/>
      <c r="K87" s="557"/>
      <c r="L87" s="558"/>
    </row>
    <row r="88" spans="1:12" x14ac:dyDescent="0.3">
      <c r="A88" s="571" t="s">
        <v>768</v>
      </c>
      <c r="B88" s="568"/>
      <c r="C88" s="562"/>
      <c r="D88" s="557"/>
      <c r="E88" s="557"/>
      <c r="F88" s="562"/>
      <c r="G88" s="562"/>
      <c r="H88" s="562"/>
      <c r="I88" s="557"/>
      <c r="J88" s="557"/>
      <c r="K88" s="557"/>
      <c r="L88" s="558"/>
    </row>
    <row r="89" spans="1:12" x14ac:dyDescent="0.3">
      <c r="A89" s="571" t="s">
        <v>255</v>
      </c>
      <c r="B89" s="568"/>
      <c r="C89" s="562"/>
      <c r="D89" s="557"/>
      <c r="E89" s="557"/>
      <c r="F89" s="562"/>
      <c r="G89" s="562"/>
      <c r="H89" s="562"/>
      <c r="I89" s="557"/>
      <c r="J89" s="557"/>
      <c r="K89" s="557"/>
      <c r="L89" s="558"/>
    </row>
    <row r="90" spans="1:12" x14ac:dyDescent="0.3">
      <c r="A90" s="571" t="s">
        <v>259</v>
      </c>
      <c r="B90" s="568"/>
      <c r="C90" s="562"/>
      <c r="D90" s="557"/>
      <c r="E90" s="557"/>
      <c r="F90" s="562"/>
      <c r="G90" s="562"/>
      <c r="H90" s="562" t="s">
        <v>1520</v>
      </c>
      <c r="I90" s="557"/>
      <c r="J90" s="557"/>
      <c r="K90" s="557" t="s">
        <v>259</v>
      </c>
      <c r="L90" s="558"/>
    </row>
    <row r="91" spans="1:12" x14ac:dyDescent="0.3">
      <c r="A91" s="571" t="s">
        <v>263</v>
      </c>
      <c r="B91" s="568"/>
      <c r="C91" s="562" t="s">
        <v>1175</v>
      </c>
      <c r="D91" s="557"/>
      <c r="E91" s="557" t="s">
        <v>1387</v>
      </c>
      <c r="F91" s="562"/>
      <c r="G91" s="562"/>
      <c r="H91" s="562" t="s">
        <v>1175</v>
      </c>
      <c r="I91" s="557"/>
      <c r="J91" s="557"/>
      <c r="K91" s="557" t="s">
        <v>1630</v>
      </c>
      <c r="L91" s="558"/>
    </row>
    <row r="92" spans="1:12" x14ac:dyDescent="0.3">
      <c r="A92" s="571"/>
      <c r="B92" s="568"/>
      <c r="C92" s="562" t="s">
        <v>1173</v>
      </c>
      <c r="D92" s="557"/>
      <c r="E92" s="557" t="s">
        <v>1388</v>
      </c>
      <c r="F92" s="562"/>
      <c r="G92" s="562"/>
      <c r="H92" s="562"/>
      <c r="I92" s="557"/>
      <c r="J92" s="557"/>
      <c r="K92" s="557"/>
      <c r="L92" s="558"/>
    </row>
    <row r="93" spans="1:12" x14ac:dyDescent="0.3">
      <c r="A93" s="571"/>
      <c r="B93" s="568"/>
      <c r="C93" s="562"/>
      <c r="D93" s="557"/>
      <c r="E93" s="557"/>
      <c r="F93" s="562"/>
      <c r="G93" s="562"/>
      <c r="H93" s="562"/>
      <c r="I93" s="557"/>
      <c r="J93" s="557"/>
      <c r="K93" s="557"/>
      <c r="L93" s="558"/>
    </row>
    <row r="94" spans="1:12" x14ac:dyDescent="0.3">
      <c r="A94" s="571" t="s">
        <v>1057</v>
      </c>
      <c r="B94" s="568" t="s">
        <v>1057</v>
      </c>
      <c r="C94" s="562" t="s">
        <v>1057</v>
      </c>
      <c r="D94" s="557" t="s">
        <v>1379</v>
      </c>
      <c r="E94" s="557" t="s">
        <v>1381</v>
      </c>
      <c r="F94" s="562" t="s">
        <v>1379</v>
      </c>
      <c r="G94" s="562" t="s">
        <v>1381</v>
      </c>
      <c r="H94" s="562" t="s">
        <v>1505</v>
      </c>
      <c r="I94" s="557" t="s">
        <v>1378</v>
      </c>
      <c r="J94" s="557" t="s">
        <v>1380</v>
      </c>
      <c r="K94" s="557" t="s">
        <v>1504</v>
      </c>
      <c r="L94" s="558" t="s">
        <v>1605</v>
      </c>
    </row>
    <row r="95" spans="1:12" x14ac:dyDescent="0.3">
      <c r="A95" s="571" t="s">
        <v>1058</v>
      </c>
      <c r="B95" s="568"/>
      <c r="C95" s="562"/>
      <c r="D95" s="557"/>
      <c r="E95" s="557"/>
      <c r="F95" s="562"/>
      <c r="G95" s="562"/>
      <c r="H95" s="562"/>
      <c r="I95" s="557"/>
      <c r="J95" s="557"/>
      <c r="K95" s="557"/>
      <c r="L95" s="558"/>
    </row>
    <row r="96" spans="1:12" x14ac:dyDescent="0.3">
      <c r="A96" s="571" t="s">
        <v>118</v>
      </c>
      <c r="B96" s="568"/>
      <c r="C96" s="562"/>
      <c r="D96" s="557"/>
      <c r="E96" s="557"/>
      <c r="F96" s="562"/>
      <c r="G96" s="562"/>
      <c r="H96" s="562"/>
      <c r="I96" s="557"/>
      <c r="J96" s="557"/>
      <c r="K96" s="557"/>
      <c r="L96" s="558"/>
    </row>
    <row r="97" spans="1:12" x14ac:dyDescent="0.3">
      <c r="A97" s="571" t="s">
        <v>122</v>
      </c>
      <c r="B97" s="568"/>
      <c r="C97" s="562"/>
      <c r="D97" s="557"/>
      <c r="E97" s="557"/>
      <c r="F97" s="562"/>
      <c r="G97" s="562"/>
      <c r="H97" s="562"/>
      <c r="I97" s="557"/>
      <c r="J97" s="557"/>
      <c r="K97" s="557"/>
      <c r="L97" s="558"/>
    </row>
    <row r="98" spans="1:12" x14ac:dyDescent="0.3">
      <c r="A98" s="571" t="s">
        <v>126</v>
      </c>
      <c r="B98" s="568"/>
      <c r="C98" s="562"/>
      <c r="D98" s="557"/>
      <c r="E98" s="557"/>
      <c r="F98" s="562"/>
      <c r="G98" s="562"/>
      <c r="H98" s="562"/>
      <c r="I98" s="557"/>
      <c r="J98" s="557"/>
      <c r="K98" s="557"/>
      <c r="L98" s="558"/>
    </row>
    <row r="99" spans="1:12" x14ac:dyDescent="0.3">
      <c r="A99" s="571" t="s">
        <v>130</v>
      </c>
      <c r="B99" s="568"/>
      <c r="C99" s="562"/>
      <c r="D99" s="557"/>
      <c r="E99" s="557"/>
      <c r="F99" s="562"/>
      <c r="G99" s="562"/>
      <c r="H99" s="562"/>
      <c r="I99" s="557"/>
      <c r="J99" s="557"/>
      <c r="K99" s="557"/>
      <c r="L99" s="558"/>
    </row>
    <row r="100" spans="1:12" x14ac:dyDescent="0.3">
      <c r="A100" s="571" t="s">
        <v>134</v>
      </c>
      <c r="B100" s="568"/>
      <c r="C100" s="562"/>
      <c r="D100" s="557"/>
      <c r="E100" s="557"/>
      <c r="F100" s="562"/>
      <c r="G100" s="562"/>
      <c r="H100" s="562"/>
      <c r="I100" s="557"/>
      <c r="J100" s="557"/>
      <c r="K100" s="557"/>
      <c r="L100" s="558"/>
    </row>
    <row r="101" spans="1:12" x14ac:dyDescent="0.3">
      <c r="A101" s="571" t="s">
        <v>137</v>
      </c>
      <c r="B101" s="568"/>
      <c r="C101" s="562"/>
      <c r="D101" s="557"/>
      <c r="E101" s="557"/>
      <c r="F101" s="562"/>
      <c r="G101" s="562"/>
      <c r="H101" s="562"/>
      <c r="I101" s="557"/>
      <c r="J101" s="557"/>
      <c r="K101" s="557"/>
      <c r="L101" s="558"/>
    </row>
    <row r="102" spans="1:12" x14ac:dyDescent="0.3">
      <c r="A102" s="571" t="s">
        <v>168</v>
      </c>
      <c r="B102" s="568"/>
      <c r="C102" s="562"/>
      <c r="D102" s="557"/>
      <c r="E102" s="557"/>
      <c r="F102" s="562"/>
      <c r="G102" s="562"/>
      <c r="H102" s="562"/>
      <c r="I102" s="557"/>
      <c r="J102" s="557"/>
      <c r="K102" s="557"/>
      <c r="L102" s="558"/>
    </row>
    <row r="103" spans="1:12" x14ac:dyDescent="0.3">
      <c r="A103" s="571" t="s">
        <v>172</v>
      </c>
      <c r="B103" s="568"/>
      <c r="C103" s="562"/>
      <c r="D103" s="557"/>
      <c r="E103" s="557"/>
      <c r="F103" s="562"/>
      <c r="G103" s="562"/>
      <c r="H103" s="562"/>
      <c r="I103" s="557"/>
      <c r="J103" s="557"/>
      <c r="K103" s="557"/>
      <c r="L103" s="558"/>
    </row>
    <row r="104" spans="1:12" x14ac:dyDescent="0.3">
      <c r="A104" s="571" t="s">
        <v>141</v>
      </c>
      <c r="B104" s="568" t="s">
        <v>1164</v>
      </c>
      <c r="C104" s="562" t="s">
        <v>1164</v>
      </c>
      <c r="D104" s="557" t="s">
        <v>1164</v>
      </c>
      <c r="E104" s="557"/>
      <c r="F104" s="562"/>
      <c r="G104" s="562" t="s">
        <v>1511</v>
      </c>
      <c r="H104" s="562"/>
      <c r="I104" s="557"/>
      <c r="J104" s="557" t="s">
        <v>141</v>
      </c>
      <c r="K104" s="557"/>
      <c r="L104" s="558"/>
    </row>
    <row r="105" spans="1:12" x14ac:dyDescent="0.3">
      <c r="A105" s="571" t="s">
        <v>145</v>
      </c>
      <c r="B105" s="568" t="s">
        <v>1162</v>
      </c>
      <c r="C105" s="562" t="s">
        <v>1162</v>
      </c>
      <c r="D105" s="557" t="s">
        <v>1162</v>
      </c>
      <c r="E105" s="557"/>
      <c r="F105" s="562"/>
      <c r="G105" s="562" t="s">
        <v>1162</v>
      </c>
      <c r="H105" s="562"/>
      <c r="I105" s="557"/>
      <c r="J105" s="557" t="s">
        <v>145</v>
      </c>
      <c r="K105" s="557"/>
      <c r="L105" s="558"/>
    </row>
    <row r="106" spans="1:12" x14ac:dyDescent="0.3">
      <c r="A106" s="571" t="s">
        <v>160</v>
      </c>
      <c r="B106" s="568" t="s">
        <v>1160</v>
      </c>
      <c r="C106" s="562" t="s">
        <v>1160</v>
      </c>
      <c r="D106" s="557" t="s">
        <v>1160</v>
      </c>
      <c r="E106" s="557"/>
      <c r="F106" s="562"/>
      <c r="G106" s="562" t="s">
        <v>1509</v>
      </c>
      <c r="H106" s="562"/>
      <c r="I106" s="557"/>
      <c r="J106" s="557" t="s">
        <v>160</v>
      </c>
      <c r="K106" s="557"/>
      <c r="L106" s="558"/>
    </row>
    <row r="107" spans="1:12" x14ac:dyDescent="0.3">
      <c r="A107" s="571" t="s">
        <v>164</v>
      </c>
      <c r="B107" s="568" t="s">
        <v>1167</v>
      </c>
      <c r="C107" s="562" t="s">
        <v>1167</v>
      </c>
      <c r="D107" s="557" t="s">
        <v>1167</v>
      </c>
      <c r="E107" s="557"/>
      <c r="F107" s="562"/>
      <c r="G107" s="562" t="s">
        <v>1167</v>
      </c>
      <c r="H107" s="562"/>
      <c r="I107" s="557"/>
      <c r="J107" s="557" t="s">
        <v>164</v>
      </c>
      <c r="K107" s="557"/>
      <c r="L107" s="558"/>
    </row>
    <row r="108" spans="1:12" x14ac:dyDescent="0.3">
      <c r="A108" s="571" t="s">
        <v>153</v>
      </c>
      <c r="B108" s="568" t="s">
        <v>1163</v>
      </c>
      <c r="C108" s="562" t="s">
        <v>1163</v>
      </c>
      <c r="D108" s="557" t="s">
        <v>1163</v>
      </c>
      <c r="E108" s="557"/>
      <c r="F108" s="562"/>
      <c r="G108" s="562"/>
      <c r="H108" s="562" t="s">
        <v>1513</v>
      </c>
      <c r="I108" s="557"/>
      <c r="J108" s="557"/>
      <c r="K108" s="557" t="s">
        <v>153</v>
      </c>
      <c r="L108" s="558"/>
    </row>
    <row r="109" spans="1:12" x14ac:dyDescent="0.3">
      <c r="A109" s="571" t="s">
        <v>156</v>
      </c>
      <c r="B109" s="568" t="s">
        <v>1165</v>
      </c>
      <c r="C109" s="562" t="s">
        <v>1165</v>
      </c>
      <c r="D109" s="557" t="s">
        <v>1165</v>
      </c>
      <c r="E109" s="557"/>
      <c r="F109" s="562"/>
      <c r="G109" s="562" t="s">
        <v>1165</v>
      </c>
      <c r="H109" s="562"/>
      <c r="I109" s="557"/>
      <c r="J109" s="557" t="s">
        <v>156</v>
      </c>
      <c r="K109" s="557"/>
      <c r="L109" s="558"/>
    </row>
    <row r="110" spans="1:12" x14ac:dyDescent="0.3">
      <c r="A110" s="571" t="s">
        <v>149</v>
      </c>
      <c r="B110" s="568"/>
      <c r="C110" s="562" t="s">
        <v>1170</v>
      </c>
      <c r="D110" s="557" t="s">
        <v>1170</v>
      </c>
      <c r="E110" s="557"/>
      <c r="F110" s="562"/>
      <c r="G110" s="562"/>
      <c r="H110" s="562" t="s">
        <v>1514</v>
      </c>
      <c r="I110" s="557"/>
      <c r="J110" s="557"/>
      <c r="K110" s="557" t="s">
        <v>149</v>
      </c>
      <c r="L110" s="558"/>
    </row>
    <row r="111" spans="1:12" x14ac:dyDescent="0.3">
      <c r="A111" s="571" t="s">
        <v>1059</v>
      </c>
      <c r="B111" s="568"/>
      <c r="C111" s="562"/>
      <c r="D111" s="557"/>
      <c r="E111" s="557"/>
      <c r="F111" s="562"/>
      <c r="G111" s="562" t="s">
        <v>1507</v>
      </c>
      <c r="H111" s="562"/>
      <c r="I111" s="557"/>
      <c r="J111" s="557" t="s">
        <v>1059</v>
      </c>
      <c r="K111" s="557"/>
      <c r="L111" s="558"/>
    </row>
    <row r="112" spans="1:12" x14ac:dyDescent="0.3">
      <c r="A112" s="571"/>
      <c r="B112" s="568"/>
      <c r="C112" s="562"/>
      <c r="D112" s="557"/>
      <c r="E112" s="557"/>
      <c r="F112" s="562"/>
      <c r="G112" s="562"/>
      <c r="H112" s="562"/>
      <c r="I112" s="557"/>
      <c r="J112" s="557"/>
      <c r="K112" s="557"/>
      <c r="L112" s="558"/>
    </row>
    <row r="113" spans="1:12" x14ac:dyDescent="0.3">
      <c r="A113" s="571" t="s">
        <v>1060</v>
      </c>
      <c r="B113" s="568"/>
      <c r="C113" s="562"/>
      <c r="D113" s="557"/>
      <c r="E113" s="557"/>
      <c r="F113" s="562"/>
      <c r="G113" s="562"/>
      <c r="H113" s="562"/>
      <c r="I113" s="557"/>
      <c r="J113" s="557"/>
      <c r="K113" s="557"/>
      <c r="L113" s="558"/>
    </row>
    <row r="114" spans="1:12" x14ac:dyDescent="0.3">
      <c r="A114" s="571" t="s">
        <v>267</v>
      </c>
      <c r="B114" s="568"/>
      <c r="C114" s="562"/>
      <c r="D114" s="557"/>
      <c r="E114" s="557"/>
      <c r="F114" s="562"/>
      <c r="G114" s="562"/>
      <c r="H114" s="562"/>
      <c r="I114" s="557"/>
      <c r="J114" s="557"/>
      <c r="K114" s="557"/>
      <c r="L114" s="558"/>
    </row>
    <row r="115" spans="1:12" x14ac:dyDescent="0.3">
      <c r="A115" s="571" t="s">
        <v>270</v>
      </c>
      <c r="B115" s="568"/>
      <c r="C115" s="562"/>
      <c r="D115" s="557"/>
      <c r="E115" s="557"/>
      <c r="F115" s="562"/>
      <c r="G115" s="562"/>
      <c r="H115" s="562"/>
      <c r="I115" s="557"/>
      <c r="J115" s="557"/>
      <c r="K115" s="557"/>
      <c r="L115" s="558"/>
    </row>
    <row r="116" spans="1:12" x14ac:dyDescent="0.3">
      <c r="A116" s="571" t="s">
        <v>274</v>
      </c>
      <c r="B116" s="568"/>
      <c r="C116" s="562"/>
      <c r="D116" s="557"/>
      <c r="E116" s="557"/>
      <c r="F116" s="562"/>
      <c r="G116" s="562"/>
      <c r="H116" s="562"/>
      <c r="I116" s="557"/>
      <c r="J116" s="557"/>
      <c r="K116" s="557"/>
      <c r="L116" s="558"/>
    </row>
    <row r="117" spans="1:12" x14ac:dyDescent="0.3">
      <c r="A117" s="571" t="s">
        <v>298</v>
      </c>
      <c r="B117" s="568"/>
      <c r="C117" s="562"/>
      <c r="D117" s="557"/>
      <c r="E117" s="557"/>
      <c r="F117" s="562"/>
      <c r="G117" s="562"/>
      <c r="H117" s="562"/>
      <c r="I117" s="557"/>
      <c r="J117" s="557"/>
      <c r="K117" s="557"/>
      <c r="L117" s="558"/>
    </row>
    <row r="118" spans="1:12" x14ac:dyDescent="0.3">
      <c r="A118" s="571" t="s">
        <v>284</v>
      </c>
      <c r="B118" s="568" t="s">
        <v>1161</v>
      </c>
      <c r="C118" s="562" t="s">
        <v>1161</v>
      </c>
      <c r="D118" s="557" t="s">
        <v>1161</v>
      </c>
      <c r="E118" s="557"/>
      <c r="F118" s="562"/>
      <c r="G118" s="562" t="s">
        <v>1510</v>
      </c>
      <c r="H118" s="562"/>
      <c r="I118" s="557"/>
      <c r="J118" s="557" t="s">
        <v>284</v>
      </c>
      <c r="K118" s="557"/>
      <c r="L118" s="558"/>
    </row>
    <row r="119" spans="1:12" x14ac:dyDescent="0.3">
      <c r="A119" s="571" t="s">
        <v>296</v>
      </c>
      <c r="B119" s="568" t="s">
        <v>1166</v>
      </c>
      <c r="C119" s="562" t="s">
        <v>1166</v>
      </c>
      <c r="D119" s="557" t="s">
        <v>1166</v>
      </c>
      <c r="E119" s="557"/>
      <c r="F119" s="562"/>
      <c r="G119" s="562" t="s">
        <v>1512</v>
      </c>
      <c r="H119" s="562"/>
      <c r="I119" s="557"/>
      <c r="J119" s="557" t="s">
        <v>296</v>
      </c>
      <c r="K119" s="557"/>
      <c r="L119" s="558"/>
    </row>
    <row r="120" spans="1:12" x14ac:dyDescent="0.3">
      <c r="A120" s="571" t="s">
        <v>287</v>
      </c>
      <c r="B120" s="568"/>
      <c r="C120" s="562" t="s">
        <v>1171</v>
      </c>
      <c r="D120" s="557" t="s">
        <v>1171</v>
      </c>
      <c r="E120" s="557"/>
      <c r="F120" s="562"/>
      <c r="G120" s="562"/>
      <c r="H120" s="562" t="s">
        <v>1515</v>
      </c>
      <c r="I120" s="557"/>
      <c r="J120" s="557"/>
      <c r="K120" s="557" t="s">
        <v>287</v>
      </c>
      <c r="L120" s="558"/>
    </row>
    <row r="121" spans="1:12" x14ac:dyDescent="0.3">
      <c r="A121" s="571" t="s">
        <v>1061</v>
      </c>
      <c r="B121" s="568"/>
      <c r="C121" s="562"/>
      <c r="D121" s="557"/>
      <c r="E121" s="557"/>
      <c r="F121" s="562"/>
      <c r="G121" s="562"/>
      <c r="H121" s="562"/>
      <c r="I121" s="557"/>
      <c r="J121" s="557"/>
      <c r="K121" s="557"/>
      <c r="L121" s="558"/>
    </row>
    <row r="122" spans="1:12" x14ac:dyDescent="0.3">
      <c r="A122" s="571" t="s">
        <v>281</v>
      </c>
      <c r="B122" s="568"/>
      <c r="C122" s="562"/>
      <c r="D122" s="557"/>
      <c r="E122" s="557"/>
      <c r="F122" s="562"/>
      <c r="G122" s="562"/>
      <c r="H122" s="562"/>
      <c r="I122" s="557"/>
      <c r="J122" s="557"/>
      <c r="K122" s="557"/>
      <c r="L122" s="558"/>
    </row>
    <row r="123" spans="1:12" x14ac:dyDescent="0.3">
      <c r="A123" s="571" t="s">
        <v>291</v>
      </c>
      <c r="B123" s="568"/>
      <c r="C123" s="562" t="s">
        <v>1168</v>
      </c>
      <c r="D123" s="557" t="s">
        <v>1168</v>
      </c>
      <c r="E123" s="557"/>
      <c r="F123" s="562"/>
      <c r="G123" s="562" t="s">
        <v>1506</v>
      </c>
      <c r="H123" s="562"/>
      <c r="I123" s="557"/>
      <c r="J123" s="557" t="s">
        <v>291</v>
      </c>
      <c r="K123" s="557"/>
      <c r="L123" s="558"/>
    </row>
    <row r="124" spans="1:12" x14ac:dyDescent="0.3">
      <c r="A124" s="571" t="s">
        <v>1062</v>
      </c>
      <c r="B124" s="568"/>
      <c r="C124" s="562" t="s">
        <v>1169</v>
      </c>
      <c r="D124" s="557" t="s">
        <v>1169</v>
      </c>
      <c r="E124" s="557"/>
      <c r="F124" s="562"/>
      <c r="G124" s="562" t="s">
        <v>1508</v>
      </c>
      <c r="H124" s="562"/>
      <c r="I124" s="557"/>
      <c r="J124" s="557" t="s">
        <v>1062</v>
      </c>
      <c r="K124" s="557"/>
      <c r="L124" s="558"/>
    </row>
    <row r="125" spans="1:12" x14ac:dyDescent="0.3">
      <c r="A125" s="571"/>
      <c r="B125" s="568"/>
      <c r="C125" s="562"/>
      <c r="D125" s="557"/>
      <c r="E125" s="557"/>
      <c r="F125" s="562"/>
      <c r="G125" s="562"/>
      <c r="H125" s="562"/>
      <c r="I125" s="557"/>
      <c r="J125" s="557"/>
      <c r="K125" s="557"/>
      <c r="L125" s="558"/>
    </row>
    <row r="126" spans="1:12" x14ac:dyDescent="0.3">
      <c r="A126" s="571" t="s">
        <v>1063</v>
      </c>
      <c r="B126" s="568" t="s">
        <v>1063</v>
      </c>
      <c r="C126" s="562" t="s">
        <v>1063</v>
      </c>
      <c r="D126" s="557" t="s">
        <v>1392</v>
      </c>
      <c r="E126" s="557" t="s">
        <v>1394</v>
      </c>
      <c r="F126" s="562" t="s">
        <v>1392</v>
      </c>
      <c r="G126" s="562" t="s">
        <v>1394</v>
      </c>
      <c r="H126" s="562" t="s">
        <v>1522</v>
      </c>
      <c r="I126" s="557" t="s">
        <v>1391</v>
      </c>
      <c r="J126" s="557" t="s">
        <v>1393</v>
      </c>
      <c r="K126" s="557" t="s">
        <v>1521</v>
      </c>
      <c r="L126" s="558" t="s">
        <v>1610</v>
      </c>
    </row>
    <row r="127" spans="1:12" x14ac:dyDescent="0.3">
      <c r="A127" s="571" t="s">
        <v>177</v>
      </c>
      <c r="B127" s="568"/>
      <c r="C127" s="562"/>
      <c r="D127" s="557"/>
      <c r="E127" s="557"/>
      <c r="F127" s="562"/>
      <c r="G127" s="562"/>
      <c r="H127" s="562"/>
      <c r="I127" s="557"/>
      <c r="J127" s="557"/>
      <c r="K127" s="557"/>
      <c r="L127" s="558" t="s">
        <v>1611</v>
      </c>
    </row>
    <row r="128" spans="1:12" x14ac:dyDescent="0.3">
      <c r="A128" s="571" t="s">
        <v>185</v>
      </c>
      <c r="B128" s="568"/>
      <c r="C128" s="562"/>
      <c r="D128" s="557"/>
      <c r="E128" s="557"/>
      <c r="F128" s="562"/>
      <c r="G128" s="562"/>
      <c r="H128" s="562"/>
      <c r="I128" s="557"/>
      <c r="J128" s="557"/>
      <c r="K128" s="557"/>
      <c r="L128" s="558" t="s">
        <v>185</v>
      </c>
    </row>
    <row r="129" spans="1:12" x14ac:dyDescent="0.3">
      <c r="A129" s="571" t="s">
        <v>188</v>
      </c>
      <c r="B129" s="568"/>
      <c r="C129" s="562"/>
      <c r="D129" s="557"/>
      <c r="E129" s="557"/>
      <c r="F129" s="562"/>
      <c r="G129" s="562"/>
      <c r="H129" s="562"/>
      <c r="I129" s="557"/>
      <c r="J129" s="557"/>
      <c r="K129" s="557"/>
      <c r="L129" s="558" t="s">
        <v>188</v>
      </c>
    </row>
    <row r="130" spans="1:12" x14ac:dyDescent="0.3">
      <c r="A130" s="571" t="s">
        <v>190</v>
      </c>
      <c r="B130" s="568"/>
      <c r="C130" s="562"/>
      <c r="D130" s="557"/>
      <c r="E130" s="557"/>
      <c r="F130" s="562"/>
      <c r="G130" s="562"/>
      <c r="H130" s="562"/>
      <c r="I130" s="557"/>
      <c r="J130" s="557"/>
      <c r="K130" s="557"/>
      <c r="L130" s="558" t="s">
        <v>190</v>
      </c>
    </row>
    <row r="131" spans="1:12" x14ac:dyDescent="0.3">
      <c r="A131" s="571" t="s">
        <v>181</v>
      </c>
      <c r="B131" s="568"/>
      <c r="C131" s="562"/>
      <c r="D131" s="557"/>
      <c r="E131" s="557"/>
      <c r="F131" s="562"/>
      <c r="G131" s="562"/>
      <c r="H131" s="562"/>
      <c r="I131" s="557"/>
      <c r="J131" s="557"/>
      <c r="K131" s="557"/>
      <c r="L131" s="558" t="s">
        <v>181</v>
      </c>
    </row>
    <row r="132" spans="1:12" x14ac:dyDescent="0.3">
      <c r="A132" s="571" t="s">
        <v>193</v>
      </c>
      <c r="B132" s="568"/>
      <c r="C132" s="562" t="s">
        <v>1179</v>
      </c>
      <c r="D132" s="557" t="s">
        <v>1179</v>
      </c>
      <c r="E132" s="557"/>
      <c r="F132" s="562"/>
      <c r="G132" s="562"/>
      <c r="H132" s="562" t="s">
        <v>1523</v>
      </c>
      <c r="I132" s="557"/>
      <c r="J132" s="557"/>
      <c r="K132" s="557" t="s">
        <v>193</v>
      </c>
      <c r="L132" s="558"/>
    </row>
    <row r="133" spans="1:12" x14ac:dyDescent="0.3">
      <c r="A133" s="571" t="s">
        <v>196</v>
      </c>
      <c r="B133" s="568" t="s">
        <v>1178</v>
      </c>
      <c r="C133" s="562" t="s">
        <v>1178</v>
      </c>
      <c r="D133" s="557" t="s">
        <v>1178</v>
      </c>
      <c r="E133" s="557"/>
      <c r="F133" s="562"/>
      <c r="G133" s="562"/>
      <c r="H133" s="562" t="s">
        <v>1178</v>
      </c>
      <c r="I133" s="557"/>
      <c r="J133" s="557"/>
      <c r="K133" s="557" t="s">
        <v>196</v>
      </c>
      <c r="L133" s="558"/>
    </row>
    <row r="134" spans="1:12" x14ac:dyDescent="0.3">
      <c r="A134" s="571" t="s">
        <v>199</v>
      </c>
      <c r="B134" s="568"/>
      <c r="C134" s="562"/>
      <c r="D134" s="557"/>
      <c r="E134" s="557"/>
      <c r="F134" s="562"/>
      <c r="G134" s="562"/>
      <c r="H134" s="562"/>
      <c r="I134" s="557"/>
      <c r="J134" s="557"/>
      <c r="K134" s="557"/>
      <c r="L134" s="558"/>
    </row>
    <row r="135" spans="1:12" x14ac:dyDescent="0.3">
      <c r="A135" s="571" t="s">
        <v>206</v>
      </c>
      <c r="B135" s="568"/>
      <c r="C135" s="562"/>
      <c r="D135" s="557"/>
      <c r="E135" s="557"/>
      <c r="F135" s="562"/>
      <c r="G135" s="562"/>
      <c r="H135" s="562"/>
      <c r="I135" s="557"/>
      <c r="J135" s="557"/>
      <c r="K135" s="557"/>
      <c r="L135" s="558"/>
    </row>
    <row r="136" spans="1:12" x14ac:dyDescent="0.3">
      <c r="A136" s="571" t="s">
        <v>203</v>
      </c>
      <c r="B136" s="568"/>
      <c r="C136" s="562"/>
      <c r="D136" s="557"/>
      <c r="E136" s="557"/>
      <c r="F136" s="562"/>
      <c r="G136" s="562"/>
      <c r="H136" s="562"/>
      <c r="I136" s="557"/>
      <c r="J136" s="557"/>
      <c r="K136" s="557"/>
      <c r="L136" s="558"/>
    </row>
    <row r="137" spans="1:12" x14ac:dyDescent="0.3">
      <c r="A137" s="571"/>
      <c r="B137" s="568"/>
      <c r="C137" s="562"/>
      <c r="D137" s="557"/>
      <c r="E137" s="557"/>
      <c r="F137" s="562"/>
      <c r="G137" s="562"/>
      <c r="H137" s="562"/>
      <c r="I137" s="557"/>
      <c r="J137" s="557"/>
      <c r="K137" s="557"/>
      <c r="L137" s="558"/>
    </row>
    <row r="138" spans="1:12" x14ac:dyDescent="0.3">
      <c r="A138" s="571" t="s">
        <v>301</v>
      </c>
      <c r="B138" s="568"/>
      <c r="C138" s="562"/>
      <c r="D138" s="557"/>
      <c r="E138" s="557"/>
      <c r="F138" s="562"/>
      <c r="G138" s="562"/>
      <c r="H138" s="562"/>
      <c r="I138" s="557"/>
      <c r="J138" s="557"/>
      <c r="K138" s="557"/>
      <c r="L138" s="558" t="s">
        <v>301</v>
      </c>
    </row>
    <row r="139" spans="1:12" x14ac:dyDescent="0.3">
      <c r="A139" s="571" t="s">
        <v>306</v>
      </c>
      <c r="B139" s="568"/>
      <c r="C139" s="562"/>
      <c r="D139" s="557"/>
      <c r="E139" s="557"/>
      <c r="F139" s="562"/>
      <c r="G139" s="562"/>
      <c r="H139" s="562"/>
      <c r="I139" s="557"/>
      <c r="J139" s="557"/>
      <c r="K139" s="557"/>
      <c r="L139" s="558" t="s">
        <v>306</v>
      </c>
    </row>
    <row r="140" spans="1:12" x14ac:dyDescent="0.3">
      <c r="A140" s="571" t="s">
        <v>304</v>
      </c>
      <c r="B140" s="568"/>
      <c r="C140" s="562"/>
      <c r="D140" s="557"/>
      <c r="E140" s="557"/>
      <c r="F140" s="562"/>
      <c r="G140" s="562"/>
      <c r="H140" s="562"/>
      <c r="I140" s="557"/>
      <c r="J140" s="557"/>
      <c r="K140" s="557"/>
      <c r="L140" s="558" t="s">
        <v>304</v>
      </c>
    </row>
    <row r="141" spans="1:12" x14ac:dyDescent="0.3">
      <c r="A141" s="571"/>
      <c r="B141" s="568"/>
      <c r="C141" s="562"/>
      <c r="D141" s="557"/>
      <c r="E141" s="557"/>
      <c r="F141" s="562"/>
      <c r="G141" s="562"/>
      <c r="H141" s="562"/>
      <c r="I141" s="557"/>
      <c r="J141" s="557"/>
      <c r="K141" s="557"/>
      <c r="L141" s="558"/>
    </row>
    <row r="142" spans="1:12" x14ac:dyDescent="0.3">
      <c r="A142" s="571" t="s">
        <v>1064</v>
      </c>
      <c r="B142" s="568" t="s">
        <v>1064</v>
      </c>
      <c r="C142" s="562" t="s">
        <v>1064</v>
      </c>
      <c r="D142" s="557" t="s">
        <v>1364</v>
      </c>
      <c r="E142" s="557" t="s">
        <v>1366</v>
      </c>
      <c r="F142" s="562" t="s">
        <v>1364</v>
      </c>
      <c r="G142" s="562" t="s">
        <v>1366</v>
      </c>
      <c r="H142" s="562" t="s">
        <v>1492</v>
      </c>
      <c r="I142" s="557" t="s">
        <v>1363</v>
      </c>
      <c r="J142" s="557" t="s">
        <v>1365</v>
      </c>
      <c r="K142" s="557" t="s">
        <v>1491</v>
      </c>
      <c r="L142" s="558" t="s">
        <v>1597</v>
      </c>
    </row>
    <row r="143" spans="1:12" x14ac:dyDescent="0.3">
      <c r="A143" s="571" t="s">
        <v>211</v>
      </c>
      <c r="B143" s="568"/>
      <c r="C143" s="562"/>
      <c r="D143" s="557"/>
      <c r="E143" s="557"/>
      <c r="F143" s="562"/>
      <c r="G143" s="562"/>
      <c r="H143" s="562"/>
      <c r="I143" s="557"/>
      <c r="J143" s="557"/>
      <c r="K143" s="557"/>
      <c r="L143" s="558" t="s">
        <v>211</v>
      </c>
    </row>
    <row r="144" spans="1:12" x14ac:dyDescent="0.3">
      <c r="A144" s="571" t="s">
        <v>214</v>
      </c>
      <c r="B144" s="568"/>
      <c r="C144" s="562"/>
      <c r="D144" s="557"/>
      <c r="E144" s="557"/>
      <c r="F144" s="562"/>
      <c r="G144" s="562"/>
      <c r="H144" s="562"/>
      <c r="I144" s="557"/>
      <c r="J144" s="557"/>
      <c r="K144" s="557"/>
      <c r="L144" s="558" t="s">
        <v>214</v>
      </c>
    </row>
    <row r="145" spans="1:12" x14ac:dyDescent="0.3">
      <c r="A145" s="571" t="s">
        <v>216</v>
      </c>
      <c r="B145" s="568"/>
      <c r="C145" s="562" t="s">
        <v>1146</v>
      </c>
      <c r="D145" s="557" t="s">
        <v>1146</v>
      </c>
      <c r="E145" s="557"/>
      <c r="F145" s="562"/>
      <c r="G145" s="562"/>
      <c r="H145" s="562" t="s">
        <v>1146</v>
      </c>
      <c r="I145" s="557"/>
      <c r="J145" s="557"/>
      <c r="K145" s="557" t="s">
        <v>216</v>
      </c>
      <c r="L145" s="558"/>
    </row>
    <row r="146" spans="1:12" x14ac:dyDescent="0.3">
      <c r="A146" s="571" t="s">
        <v>228</v>
      </c>
      <c r="B146" s="568"/>
      <c r="C146" s="562" t="s">
        <v>1147</v>
      </c>
      <c r="D146" s="557" t="s">
        <v>1147</v>
      </c>
      <c r="E146" s="557"/>
      <c r="F146" s="562"/>
      <c r="G146" s="562"/>
      <c r="H146" s="562" t="s">
        <v>1496</v>
      </c>
      <c r="I146" s="557"/>
      <c r="J146" s="557"/>
      <c r="K146" s="557" t="s">
        <v>228</v>
      </c>
      <c r="L146" s="558"/>
    </row>
    <row r="147" spans="1:12" x14ac:dyDescent="0.3">
      <c r="A147" s="571" t="s">
        <v>220</v>
      </c>
      <c r="B147" s="568" t="s">
        <v>1144</v>
      </c>
      <c r="C147" s="562" t="s">
        <v>1144</v>
      </c>
      <c r="D147" s="557" t="s">
        <v>1144</v>
      </c>
      <c r="E147" s="557"/>
      <c r="F147" s="562"/>
      <c r="G147" s="562" t="s">
        <v>1493</v>
      </c>
      <c r="H147" s="562"/>
      <c r="I147" s="557"/>
      <c r="J147" s="557" t="s">
        <v>220</v>
      </c>
      <c r="K147" s="557"/>
      <c r="L147" s="558"/>
    </row>
    <row r="148" spans="1:12" x14ac:dyDescent="0.3">
      <c r="A148" s="571" t="s">
        <v>224</v>
      </c>
      <c r="B148" s="568" t="s">
        <v>1145</v>
      </c>
      <c r="C148" s="562" t="s">
        <v>1145</v>
      </c>
      <c r="D148" s="557" t="s">
        <v>1145</v>
      </c>
      <c r="E148" s="557"/>
      <c r="F148" s="562"/>
      <c r="G148" s="562" t="s">
        <v>1495</v>
      </c>
      <c r="H148" s="562"/>
      <c r="I148" s="557"/>
      <c r="J148" s="557" t="s">
        <v>224</v>
      </c>
      <c r="K148" s="557"/>
      <c r="L148" s="558"/>
    </row>
    <row r="149" spans="1:12" x14ac:dyDescent="0.3">
      <c r="A149" s="571"/>
      <c r="B149" s="568"/>
      <c r="C149" s="562"/>
      <c r="D149" s="557"/>
      <c r="E149" s="557"/>
      <c r="F149" s="562"/>
      <c r="G149" s="562"/>
      <c r="H149" s="562"/>
      <c r="I149" s="557"/>
      <c r="J149" s="557"/>
      <c r="K149" s="557"/>
      <c r="L149" s="558"/>
    </row>
    <row r="150" spans="1:12" x14ac:dyDescent="0.3">
      <c r="A150" s="571" t="s">
        <v>311</v>
      </c>
      <c r="B150" s="568"/>
      <c r="C150" s="562"/>
      <c r="D150" s="557"/>
      <c r="E150" s="557"/>
      <c r="F150" s="562"/>
      <c r="G150" s="562"/>
      <c r="H150" s="562"/>
      <c r="I150" s="557"/>
      <c r="J150" s="557"/>
      <c r="K150" s="557"/>
      <c r="L150" s="558" t="s">
        <v>1598</v>
      </c>
    </row>
    <row r="151" spans="1:12" x14ac:dyDescent="0.3">
      <c r="A151" s="571" t="s">
        <v>316</v>
      </c>
      <c r="B151" s="568" t="s">
        <v>1143</v>
      </c>
      <c r="C151" s="562" t="s">
        <v>1143</v>
      </c>
      <c r="D151" s="557" t="s">
        <v>1143</v>
      </c>
      <c r="E151" s="557"/>
      <c r="F151" s="562"/>
      <c r="G151" s="562" t="s">
        <v>1494</v>
      </c>
      <c r="H151" s="562"/>
      <c r="I151" s="557"/>
      <c r="J151" s="557" t="s">
        <v>316</v>
      </c>
      <c r="K151" s="557"/>
      <c r="L151" s="558"/>
    </row>
    <row r="152" spans="1:12" x14ac:dyDescent="0.3">
      <c r="A152" s="571" t="s">
        <v>313</v>
      </c>
      <c r="B152" s="568" t="s">
        <v>1142</v>
      </c>
      <c r="C152" s="562" t="s">
        <v>1142</v>
      </c>
      <c r="D152" s="557" t="s">
        <v>1142</v>
      </c>
      <c r="E152" s="557"/>
      <c r="F152" s="562"/>
      <c r="G152" s="562"/>
      <c r="H152" s="562" t="s">
        <v>1142</v>
      </c>
      <c r="I152" s="557"/>
      <c r="J152" s="557"/>
      <c r="K152" s="557" t="s">
        <v>313</v>
      </c>
      <c r="L152" s="558"/>
    </row>
    <row r="153" spans="1:12" x14ac:dyDescent="0.3">
      <c r="A153" s="571" t="s">
        <v>308</v>
      </c>
      <c r="B153" s="568"/>
      <c r="C153" s="562"/>
      <c r="D153" s="557" t="s">
        <v>1626</v>
      </c>
      <c r="E153" s="557"/>
      <c r="F153" s="562"/>
      <c r="G153" s="562" t="s">
        <v>1625</v>
      </c>
      <c r="H153" s="562"/>
      <c r="I153" s="557"/>
      <c r="J153" s="557" t="s">
        <v>1627</v>
      </c>
      <c r="K153" s="557"/>
      <c r="L153" s="558"/>
    </row>
    <row r="154" spans="1:12" x14ac:dyDescent="0.3">
      <c r="A154" s="571"/>
      <c r="B154" s="568"/>
      <c r="C154" s="562"/>
      <c r="D154" s="557"/>
      <c r="E154" s="557"/>
      <c r="F154" s="562"/>
      <c r="G154" s="562"/>
      <c r="H154" s="562"/>
      <c r="I154" s="557"/>
      <c r="J154" s="557"/>
      <c r="K154" s="557"/>
      <c r="L154" s="558"/>
    </row>
    <row r="155" spans="1:12" x14ac:dyDescent="0.3">
      <c r="A155" s="571" t="s">
        <v>1065</v>
      </c>
      <c r="B155" s="568" t="s">
        <v>1065</v>
      </c>
      <c r="C155" s="562" t="s">
        <v>1065</v>
      </c>
      <c r="D155" s="557" t="s">
        <v>1336</v>
      </c>
      <c r="E155" s="557" t="s">
        <v>1338</v>
      </c>
      <c r="F155" s="562" t="s">
        <v>1336</v>
      </c>
      <c r="G155" s="562" t="s">
        <v>1338</v>
      </c>
      <c r="H155" s="562" t="s">
        <v>1460</v>
      </c>
      <c r="I155" s="557" t="s">
        <v>1335</v>
      </c>
      <c r="J155" s="557" t="s">
        <v>1337</v>
      </c>
      <c r="K155" s="557" t="s">
        <v>1459</v>
      </c>
      <c r="L155" s="558" t="s">
        <v>1585</v>
      </c>
    </row>
    <row r="156" spans="1:12" x14ac:dyDescent="0.3">
      <c r="A156" s="571" t="s">
        <v>230</v>
      </c>
      <c r="B156" s="568"/>
      <c r="C156" s="562"/>
      <c r="D156" s="557"/>
      <c r="E156" s="557"/>
      <c r="F156" s="562"/>
      <c r="G156" s="562"/>
      <c r="H156" s="562"/>
      <c r="I156" s="557"/>
      <c r="J156" s="557"/>
      <c r="K156" s="557"/>
      <c r="L156" s="558" t="s">
        <v>230</v>
      </c>
    </row>
    <row r="157" spans="1:12" x14ac:dyDescent="0.3">
      <c r="A157" s="571" t="s">
        <v>233</v>
      </c>
      <c r="B157" s="568"/>
      <c r="C157" s="562"/>
      <c r="D157" s="557"/>
      <c r="E157" s="557"/>
      <c r="F157" s="562"/>
      <c r="G157" s="562"/>
      <c r="H157" s="562"/>
      <c r="I157" s="557"/>
      <c r="J157" s="557"/>
      <c r="K157" s="557"/>
      <c r="L157" s="558" t="s">
        <v>233</v>
      </c>
    </row>
    <row r="158" spans="1:12" x14ac:dyDescent="0.3">
      <c r="A158" s="571" t="s">
        <v>237</v>
      </c>
      <c r="B158" s="568"/>
      <c r="C158" s="562"/>
      <c r="D158" s="557"/>
      <c r="E158" s="557"/>
      <c r="F158" s="562"/>
      <c r="G158" s="562"/>
      <c r="H158" s="562"/>
      <c r="I158" s="557"/>
      <c r="J158" s="557"/>
      <c r="K158" s="557"/>
      <c r="L158" s="558" t="s">
        <v>237</v>
      </c>
    </row>
    <row r="159" spans="1:12" x14ac:dyDescent="0.3">
      <c r="A159" s="571" t="s">
        <v>241</v>
      </c>
      <c r="B159" s="568"/>
      <c r="C159" s="562"/>
      <c r="D159" s="557"/>
      <c r="E159" s="557"/>
      <c r="F159" s="562"/>
      <c r="G159" s="562"/>
      <c r="H159" s="562"/>
      <c r="I159" s="557"/>
      <c r="J159" s="557"/>
      <c r="K159" s="557"/>
      <c r="L159" s="558" t="s">
        <v>241</v>
      </c>
    </row>
    <row r="160" spans="1:12" x14ac:dyDescent="0.3">
      <c r="A160" s="571" t="s">
        <v>243</v>
      </c>
      <c r="B160" s="568"/>
      <c r="C160" s="562"/>
      <c r="D160" s="557"/>
      <c r="E160" s="557"/>
      <c r="F160" s="562"/>
      <c r="G160" s="562"/>
      <c r="H160" s="562"/>
      <c r="I160" s="557"/>
      <c r="J160" s="557"/>
      <c r="K160" s="557"/>
      <c r="L160" s="558" t="s">
        <v>243</v>
      </c>
    </row>
    <row r="161" spans="1:12" x14ac:dyDescent="0.3">
      <c r="A161" s="571" t="s">
        <v>247</v>
      </c>
      <c r="B161" s="568"/>
      <c r="C161" s="562"/>
      <c r="D161" s="557"/>
      <c r="E161" s="557"/>
      <c r="F161" s="562"/>
      <c r="G161" s="562"/>
      <c r="H161" s="562"/>
      <c r="I161" s="557"/>
      <c r="J161" s="557"/>
      <c r="K161" s="557"/>
      <c r="L161" s="558" t="s">
        <v>247</v>
      </c>
    </row>
    <row r="162" spans="1:12" x14ac:dyDescent="0.3">
      <c r="A162" s="571" t="s">
        <v>98</v>
      </c>
      <c r="B162" s="568"/>
      <c r="C162" s="562"/>
      <c r="D162" s="557"/>
      <c r="E162" s="557"/>
      <c r="F162" s="562"/>
      <c r="G162" s="562"/>
      <c r="H162" s="562"/>
      <c r="I162" s="557"/>
      <c r="J162" s="557"/>
      <c r="K162" s="557"/>
      <c r="L162" s="558" t="s">
        <v>98</v>
      </c>
    </row>
    <row r="163" spans="1:12" x14ac:dyDescent="0.3">
      <c r="A163" s="571" t="s">
        <v>102</v>
      </c>
      <c r="B163" s="568"/>
      <c r="C163" s="562"/>
      <c r="D163" s="557"/>
      <c r="E163" s="557"/>
      <c r="F163" s="562"/>
      <c r="G163" s="562"/>
      <c r="H163" s="562"/>
      <c r="I163" s="557"/>
      <c r="J163" s="557"/>
      <c r="K163" s="557"/>
      <c r="L163" s="558" t="s">
        <v>102</v>
      </c>
    </row>
    <row r="164" spans="1:12" x14ac:dyDescent="0.3">
      <c r="A164" s="571" t="s">
        <v>105</v>
      </c>
      <c r="B164" s="568"/>
      <c r="C164" s="562"/>
      <c r="D164" s="557"/>
      <c r="E164" s="557"/>
      <c r="F164" s="562"/>
      <c r="G164" s="562"/>
      <c r="H164" s="562"/>
      <c r="I164" s="557"/>
      <c r="J164" s="557"/>
      <c r="K164" s="557"/>
      <c r="L164" s="558" t="s">
        <v>105</v>
      </c>
    </row>
    <row r="165" spans="1:12" x14ac:dyDescent="0.3">
      <c r="A165" s="571" t="s">
        <v>108</v>
      </c>
      <c r="B165" s="568"/>
      <c r="C165" s="562"/>
      <c r="D165" s="557"/>
      <c r="E165" s="557"/>
      <c r="F165" s="562"/>
      <c r="G165" s="562"/>
      <c r="H165" s="562"/>
      <c r="I165" s="557"/>
      <c r="J165" s="557"/>
      <c r="K165" s="557"/>
      <c r="L165" s="558" t="s">
        <v>108</v>
      </c>
    </row>
    <row r="166" spans="1:12" x14ac:dyDescent="0.3">
      <c r="A166" s="571" t="s">
        <v>161</v>
      </c>
      <c r="B166" s="568"/>
      <c r="C166" s="562"/>
      <c r="D166" s="557"/>
      <c r="E166" s="557"/>
      <c r="F166" s="562"/>
      <c r="G166" s="562"/>
      <c r="H166" s="562"/>
      <c r="I166" s="557"/>
      <c r="J166" s="557"/>
      <c r="K166" s="557"/>
      <c r="L166" s="558" t="s">
        <v>161</v>
      </c>
    </row>
    <row r="167" spans="1:12" x14ac:dyDescent="0.3">
      <c r="A167" s="571" t="s">
        <v>131</v>
      </c>
      <c r="B167" s="568"/>
      <c r="C167" s="562"/>
      <c r="D167" s="557"/>
      <c r="E167" s="557"/>
      <c r="F167" s="562"/>
      <c r="G167" s="562"/>
      <c r="H167" s="562"/>
      <c r="I167" s="557"/>
      <c r="J167" s="557"/>
      <c r="K167" s="557"/>
      <c r="L167" s="558" t="s">
        <v>131</v>
      </c>
    </row>
    <row r="168" spans="1:12" x14ac:dyDescent="0.3">
      <c r="A168" s="571" t="s">
        <v>135</v>
      </c>
      <c r="B168" s="568"/>
      <c r="C168" s="562"/>
      <c r="D168" s="557"/>
      <c r="E168" s="557"/>
      <c r="F168" s="562"/>
      <c r="G168" s="562"/>
      <c r="H168" s="562"/>
      <c r="I168" s="557"/>
      <c r="J168" s="557"/>
      <c r="K168" s="557"/>
      <c r="L168" s="558" t="s">
        <v>135</v>
      </c>
    </row>
    <row r="169" spans="1:12" x14ac:dyDescent="0.3">
      <c r="A169" s="571" t="s">
        <v>146</v>
      </c>
      <c r="B169" s="568"/>
      <c r="C169" s="562"/>
      <c r="D169" s="557"/>
      <c r="E169" s="557"/>
      <c r="F169" s="562"/>
      <c r="G169" s="562"/>
      <c r="H169" s="562"/>
      <c r="I169" s="557"/>
      <c r="J169" s="557"/>
      <c r="K169" s="557"/>
      <c r="L169" s="558" t="s">
        <v>146</v>
      </c>
    </row>
    <row r="170" spans="1:12" x14ac:dyDescent="0.3">
      <c r="A170" s="571" t="s">
        <v>150</v>
      </c>
      <c r="B170" s="568"/>
      <c r="C170" s="562"/>
      <c r="D170" s="557"/>
      <c r="E170" s="557"/>
      <c r="F170" s="562"/>
      <c r="G170" s="562"/>
      <c r="H170" s="562"/>
      <c r="I170" s="557"/>
      <c r="J170" s="557"/>
      <c r="K170" s="557"/>
      <c r="L170" s="558" t="s">
        <v>150</v>
      </c>
    </row>
    <row r="171" spans="1:12" x14ac:dyDescent="0.3">
      <c r="A171" s="571" t="s">
        <v>165</v>
      </c>
      <c r="B171" s="568"/>
      <c r="C171" s="562"/>
      <c r="D171" s="557"/>
      <c r="E171" s="557"/>
      <c r="F171" s="562"/>
      <c r="G171" s="562"/>
      <c r="H171" s="562"/>
      <c r="I171" s="557"/>
      <c r="J171" s="557"/>
      <c r="K171" s="557"/>
      <c r="L171" s="558" t="s">
        <v>165</v>
      </c>
    </row>
    <row r="172" spans="1:12" x14ac:dyDescent="0.3">
      <c r="A172" s="571" t="s">
        <v>112</v>
      </c>
      <c r="B172" s="568"/>
      <c r="C172" s="562" t="s">
        <v>1107</v>
      </c>
      <c r="D172" s="557" t="s">
        <v>1348</v>
      </c>
      <c r="E172" s="557"/>
      <c r="F172" s="562"/>
      <c r="G172" s="562"/>
      <c r="H172" s="562" t="s">
        <v>1476</v>
      </c>
      <c r="I172" s="557"/>
      <c r="J172" s="557"/>
      <c r="K172" s="557" t="s">
        <v>112</v>
      </c>
      <c r="L172" s="558"/>
    </row>
    <row r="173" spans="1:12" x14ac:dyDescent="0.3">
      <c r="A173" s="571" t="s">
        <v>115</v>
      </c>
      <c r="B173" s="568"/>
      <c r="C173" s="562" t="s">
        <v>1106</v>
      </c>
      <c r="D173" s="557" t="s">
        <v>1106</v>
      </c>
      <c r="E173" s="557"/>
      <c r="F173" s="562"/>
      <c r="G173" s="562"/>
      <c r="H173" s="562" t="s">
        <v>1106</v>
      </c>
      <c r="I173" s="557"/>
      <c r="J173" s="557"/>
      <c r="K173" s="557" t="s">
        <v>115</v>
      </c>
      <c r="L173" s="558"/>
    </row>
    <row r="174" spans="1:12" x14ac:dyDescent="0.3">
      <c r="A174" s="571" t="s">
        <v>119</v>
      </c>
      <c r="B174" s="568" t="s">
        <v>119</v>
      </c>
      <c r="C174" s="562" t="s">
        <v>119</v>
      </c>
      <c r="D174" s="557" t="s">
        <v>119</v>
      </c>
      <c r="E174" s="557"/>
      <c r="F174" s="562"/>
      <c r="G174" s="562" t="s">
        <v>1461</v>
      </c>
      <c r="H174" s="562"/>
      <c r="I174" s="557"/>
      <c r="J174" s="557" t="s">
        <v>119</v>
      </c>
      <c r="K174" s="557"/>
      <c r="L174" s="558"/>
    </row>
    <row r="175" spans="1:12" x14ac:dyDescent="0.3">
      <c r="A175" s="571" t="s">
        <v>157</v>
      </c>
      <c r="B175" s="568"/>
      <c r="C175" s="562" t="s">
        <v>1117</v>
      </c>
      <c r="D175" s="557" t="s">
        <v>1117</v>
      </c>
      <c r="E175" s="557"/>
      <c r="F175" s="562"/>
      <c r="G175" s="562"/>
      <c r="H175" s="562" t="s">
        <v>1475</v>
      </c>
      <c r="I175" s="557"/>
      <c r="J175" s="557"/>
      <c r="K175" s="557" t="s">
        <v>157</v>
      </c>
      <c r="L175" s="558"/>
    </row>
    <row r="176" spans="1:12" x14ac:dyDescent="0.3">
      <c r="A176" s="571" t="s">
        <v>123</v>
      </c>
      <c r="B176" s="568" t="s">
        <v>123</v>
      </c>
      <c r="C176" s="562" t="s">
        <v>123</v>
      </c>
      <c r="D176" s="557" t="s">
        <v>123</v>
      </c>
      <c r="E176" s="557"/>
      <c r="F176" s="562"/>
      <c r="G176" s="562" t="s">
        <v>1462</v>
      </c>
      <c r="H176" s="562"/>
      <c r="I176" s="557"/>
      <c r="J176" s="557" t="s">
        <v>123</v>
      </c>
      <c r="K176" s="557"/>
      <c r="L176" s="558"/>
    </row>
    <row r="177" spans="1:12" x14ac:dyDescent="0.3">
      <c r="A177" s="571" t="s">
        <v>127</v>
      </c>
      <c r="B177" s="568"/>
      <c r="C177" s="562" t="s">
        <v>1108</v>
      </c>
      <c r="D177" s="557"/>
      <c r="E177" s="557" t="s">
        <v>1108</v>
      </c>
      <c r="F177" s="562"/>
      <c r="G177" s="562"/>
      <c r="H177" s="562" t="s">
        <v>1470</v>
      </c>
      <c r="I177" s="557"/>
      <c r="J177" s="557"/>
      <c r="K177" s="557" t="s">
        <v>127</v>
      </c>
      <c r="L177" s="558"/>
    </row>
    <row r="178" spans="1:12" x14ac:dyDescent="0.3">
      <c r="A178" s="571" t="s">
        <v>138</v>
      </c>
      <c r="B178" s="568"/>
      <c r="C178" s="562" t="s">
        <v>1111</v>
      </c>
      <c r="D178" s="557"/>
      <c r="E178" s="557" t="s">
        <v>1343</v>
      </c>
      <c r="F178" s="562"/>
      <c r="G178" s="562"/>
      <c r="H178" s="562" t="s">
        <v>1111</v>
      </c>
      <c r="I178" s="557"/>
      <c r="J178" s="557"/>
      <c r="K178" s="557" t="s">
        <v>138</v>
      </c>
      <c r="L178" s="558"/>
    </row>
    <row r="179" spans="1:12" x14ac:dyDescent="0.3">
      <c r="A179" s="571" t="s">
        <v>142</v>
      </c>
      <c r="B179" s="568"/>
      <c r="C179" s="562" t="s">
        <v>1114</v>
      </c>
      <c r="D179" s="557"/>
      <c r="E179" s="557" t="s">
        <v>1339</v>
      </c>
      <c r="F179" s="562"/>
      <c r="G179" s="562"/>
      <c r="H179" s="562" t="s">
        <v>1464</v>
      </c>
      <c r="I179" s="557"/>
      <c r="J179" s="557"/>
      <c r="K179" s="557" t="s">
        <v>142</v>
      </c>
      <c r="L179" s="558"/>
    </row>
    <row r="180" spans="1:12" x14ac:dyDescent="0.3">
      <c r="A180" s="571" t="s">
        <v>169</v>
      </c>
      <c r="B180" s="568"/>
      <c r="C180" s="562"/>
      <c r="D180" s="557"/>
      <c r="E180" s="557" t="s">
        <v>1345</v>
      </c>
      <c r="F180" s="562"/>
      <c r="G180" s="562"/>
      <c r="H180" s="562" t="s">
        <v>1471</v>
      </c>
      <c r="I180" s="557"/>
      <c r="J180" s="557"/>
      <c r="K180" s="557" t="s">
        <v>169</v>
      </c>
      <c r="L180" s="558"/>
    </row>
    <row r="181" spans="1:12" x14ac:dyDescent="0.3">
      <c r="A181" s="571" t="s">
        <v>154</v>
      </c>
      <c r="B181" s="568"/>
      <c r="C181" s="562" t="s">
        <v>1116</v>
      </c>
      <c r="D181" s="557"/>
      <c r="E181" s="557" t="s">
        <v>1116</v>
      </c>
      <c r="F181" s="562"/>
      <c r="G181" s="562"/>
      <c r="H181" s="562" t="s">
        <v>1468</v>
      </c>
      <c r="I181" s="557"/>
      <c r="J181" s="557"/>
      <c r="K181" s="557" t="s">
        <v>154</v>
      </c>
      <c r="L181" s="558"/>
    </row>
    <row r="182" spans="1:12" x14ac:dyDescent="0.3">
      <c r="A182" s="571" t="s">
        <v>173</v>
      </c>
      <c r="B182" s="568"/>
      <c r="C182" s="562"/>
      <c r="D182" s="557"/>
      <c r="E182" s="557" t="s">
        <v>1346</v>
      </c>
      <c r="F182" s="562"/>
      <c r="G182" s="562"/>
      <c r="H182" s="562" t="s">
        <v>1469</v>
      </c>
      <c r="I182" s="557"/>
      <c r="J182" s="557"/>
      <c r="K182" s="557" t="s">
        <v>173</v>
      </c>
      <c r="L182" s="558"/>
    </row>
    <row r="183" spans="1:12" x14ac:dyDescent="0.3">
      <c r="A183" s="571" t="s">
        <v>662</v>
      </c>
      <c r="B183" s="568"/>
      <c r="C183" s="562"/>
      <c r="D183" s="557"/>
      <c r="E183" s="557"/>
      <c r="F183" s="562"/>
      <c r="G183" s="562"/>
      <c r="H183" s="562"/>
      <c r="I183" s="557"/>
      <c r="J183" s="557"/>
      <c r="K183" s="557" t="s">
        <v>1586</v>
      </c>
      <c r="L183" s="558"/>
    </row>
    <row r="184" spans="1:12" x14ac:dyDescent="0.3">
      <c r="A184" s="571"/>
      <c r="B184" s="568"/>
      <c r="C184" s="562"/>
      <c r="D184" s="557"/>
      <c r="E184" s="557"/>
      <c r="F184" s="562"/>
      <c r="G184" s="562"/>
      <c r="H184" s="562"/>
      <c r="I184" s="557"/>
      <c r="J184" s="557"/>
      <c r="K184" s="557"/>
      <c r="L184" s="558"/>
    </row>
    <row r="185" spans="1:12" x14ac:dyDescent="0.3">
      <c r="A185" s="571" t="s">
        <v>318</v>
      </c>
      <c r="B185" s="568"/>
      <c r="C185" s="562"/>
      <c r="D185" s="557"/>
      <c r="E185" s="557"/>
      <c r="F185" s="562"/>
      <c r="G185" s="562"/>
      <c r="H185" s="562"/>
      <c r="I185" s="557"/>
      <c r="J185" s="557"/>
      <c r="K185" s="557"/>
      <c r="L185" s="558" t="s">
        <v>318</v>
      </c>
    </row>
    <row r="186" spans="1:12" x14ac:dyDescent="0.3">
      <c r="A186" s="571" t="s">
        <v>321</v>
      </c>
      <c r="B186" s="568"/>
      <c r="C186" s="562"/>
      <c r="D186" s="557"/>
      <c r="E186" s="557"/>
      <c r="F186" s="562"/>
      <c r="G186" s="562"/>
      <c r="H186" s="562"/>
      <c r="I186" s="557"/>
      <c r="J186" s="557"/>
      <c r="K186" s="557"/>
      <c r="L186" s="558" t="s">
        <v>321</v>
      </c>
    </row>
    <row r="187" spans="1:12" x14ac:dyDescent="0.3">
      <c r="A187" s="571" t="s">
        <v>324</v>
      </c>
      <c r="B187" s="568"/>
      <c r="C187" s="562"/>
      <c r="D187" s="557"/>
      <c r="E187" s="557"/>
      <c r="F187" s="562"/>
      <c r="G187" s="562"/>
      <c r="H187" s="562"/>
      <c r="I187" s="557"/>
      <c r="J187" s="557"/>
      <c r="K187" s="557"/>
      <c r="L187" s="558" t="s">
        <v>324</v>
      </c>
    </row>
    <row r="188" spans="1:12" x14ac:dyDescent="0.3">
      <c r="A188" s="571" t="s">
        <v>327</v>
      </c>
      <c r="B188" s="568"/>
      <c r="C188" s="562"/>
      <c r="D188" s="557"/>
      <c r="E188" s="557"/>
      <c r="F188" s="562"/>
      <c r="G188" s="562"/>
      <c r="H188" s="562"/>
      <c r="I188" s="557"/>
      <c r="J188" s="557"/>
      <c r="K188" s="557"/>
      <c r="L188" s="558" t="s">
        <v>327</v>
      </c>
    </row>
    <row r="189" spans="1:12" x14ac:dyDescent="0.3">
      <c r="A189" s="571" t="s">
        <v>343</v>
      </c>
      <c r="B189" s="568"/>
      <c r="C189" s="562"/>
      <c r="D189" s="557"/>
      <c r="E189" s="557"/>
      <c r="F189" s="562"/>
      <c r="G189" s="562"/>
      <c r="H189" s="562"/>
      <c r="I189" s="557"/>
      <c r="J189" s="557"/>
      <c r="K189" s="557"/>
      <c r="L189" s="558" t="s">
        <v>343</v>
      </c>
    </row>
    <row r="190" spans="1:12" x14ac:dyDescent="0.3">
      <c r="A190" s="571" t="s">
        <v>350</v>
      </c>
      <c r="B190" s="568"/>
      <c r="C190" s="562"/>
      <c r="D190" s="557"/>
      <c r="E190" s="557"/>
      <c r="F190" s="562"/>
      <c r="G190" s="562"/>
      <c r="H190" s="562"/>
      <c r="I190" s="557"/>
      <c r="J190" s="557"/>
      <c r="K190" s="557"/>
      <c r="L190" s="558" t="s">
        <v>350</v>
      </c>
    </row>
    <row r="191" spans="1:12" x14ac:dyDescent="0.3">
      <c r="A191" s="571" t="s">
        <v>357</v>
      </c>
      <c r="B191" s="568"/>
      <c r="C191" s="562"/>
      <c r="D191" s="557"/>
      <c r="E191" s="557"/>
      <c r="F191" s="562"/>
      <c r="G191" s="562"/>
      <c r="H191" s="562"/>
      <c r="I191" s="557"/>
      <c r="J191" s="557"/>
      <c r="K191" s="557"/>
      <c r="L191" s="558" t="s">
        <v>357</v>
      </c>
    </row>
    <row r="192" spans="1:12" x14ac:dyDescent="0.3">
      <c r="A192" s="571" t="s">
        <v>363</v>
      </c>
      <c r="B192" s="568"/>
      <c r="C192" s="562"/>
      <c r="D192" s="557"/>
      <c r="E192" s="557"/>
      <c r="F192" s="562"/>
      <c r="G192" s="562"/>
      <c r="H192" s="562"/>
      <c r="I192" s="557"/>
      <c r="J192" s="557"/>
      <c r="K192" s="557"/>
      <c r="L192" s="558" t="s">
        <v>363</v>
      </c>
    </row>
    <row r="193" spans="1:12" x14ac:dyDescent="0.3">
      <c r="A193" s="571" t="s">
        <v>333</v>
      </c>
      <c r="B193" s="568"/>
      <c r="C193" s="562" t="s">
        <v>1105</v>
      </c>
      <c r="D193" s="557" t="s">
        <v>1349</v>
      </c>
      <c r="E193" s="557"/>
      <c r="F193" s="562"/>
      <c r="G193" s="562"/>
      <c r="H193" s="562" t="s">
        <v>1473</v>
      </c>
      <c r="I193" s="557"/>
      <c r="J193" s="557"/>
      <c r="K193" s="557" t="s">
        <v>333</v>
      </c>
      <c r="L193" s="558"/>
    </row>
    <row r="194" spans="1:12" x14ac:dyDescent="0.3">
      <c r="A194" s="571" t="s">
        <v>366</v>
      </c>
      <c r="B194" s="568"/>
      <c r="C194" s="562"/>
      <c r="D194" s="557"/>
      <c r="E194" s="557"/>
      <c r="F194" s="562"/>
      <c r="G194" s="562"/>
      <c r="H194" s="562"/>
      <c r="I194" s="557"/>
      <c r="J194" s="557"/>
      <c r="K194" s="557"/>
      <c r="L194" s="558" t="s">
        <v>366</v>
      </c>
    </row>
    <row r="195" spans="1:12" x14ac:dyDescent="0.3">
      <c r="A195" s="571" t="s">
        <v>371</v>
      </c>
      <c r="B195" s="568"/>
      <c r="C195" s="562"/>
      <c r="D195" s="557"/>
      <c r="E195" s="557"/>
      <c r="F195" s="562"/>
      <c r="G195" s="562"/>
      <c r="H195" s="562"/>
      <c r="I195" s="557"/>
      <c r="J195" s="557"/>
      <c r="K195" s="557"/>
      <c r="L195" s="558" t="s">
        <v>371</v>
      </c>
    </row>
    <row r="196" spans="1:12" x14ac:dyDescent="0.3">
      <c r="A196" s="571" t="s">
        <v>369</v>
      </c>
      <c r="B196" s="568"/>
      <c r="C196" s="562"/>
      <c r="D196" s="557"/>
      <c r="E196" s="557" t="s">
        <v>1347</v>
      </c>
      <c r="F196" s="562"/>
      <c r="G196" s="562"/>
      <c r="H196" s="562" t="s">
        <v>1467</v>
      </c>
      <c r="I196" s="557"/>
      <c r="J196" s="557"/>
      <c r="K196" s="557" t="s">
        <v>369</v>
      </c>
      <c r="L196" s="558"/>
    </row>
    <row r="197" spans="1:12" x14ac:dyDescent="0.3">
      <c r="A197" s="571" t="s">
        <v>336</v>
      </c>
      <c r="B197" s="568"/>
      <c r="C197" s="562" t="s">
        <v>1109</v>
      </c>
      <c r="D197" s="557"/>
      <c r="E197" s="557" t="s">
        <v>1344</v>
      </c>
      <c r="F197" s="562"/>
      <c r="G197" s="562"/>
      <c r="H197" s="562" t="s">
        <v>1472</v>
      </c>
      <c r="I197" s="557"/>
      <c r="J197" s="557"/>
      <c r="K197" s="557" t="s">
        <v>336</v>
      </c>
      <c r="L197" s="558"/>
    </row>
    <row r="198" spans="1:12" x14ac:dyDescent="0.3">
      <c r="A198" s="571" t="s">
        <v>346</v>
      </c>
      <c r="B198" s="568"/>
      <c r="C198" s="562" t="s">
        <v>1112</v>
      </c>
      <c r="D198" s="557"/>
      <c r="E198" s="557" t="s">
        <v>1340</v>
      </c>
      <c r="F198" s="562"/>
      <c r="G198" s="562"/>
      <c r="H198" s="562" t="s">
        <v>1465</v>
      </c>
      <c r="I198" s="557"/>
      <c r="J198" s="557"/>
      <c r="K198" s="557" t="s">
        <v>346</v>
      </c>
      <c r="L198" s="558"/>
    </row>
    <row r="199" spans="1:12" x14ac:dyDescent="0.3">
      <c r="A199" s="571" t="s">
        <v>353</v>
      </c>
      <c r="B199" s="568"/>
      <c r="C199" s="562" t="s">
        <v>1113</v>
      </c>
      <c r="D199" s="557"/>
      <c r="E199" s="557" t="s">
        <v>1341</v>
      </c>
      <c r="F199" s="562"/>
      <c r="G199" s="562"/>
      <c r="H199" s="562" t="s">
        <v>1466</v>
      </c>
      <c r="I199" s="557"/>
      <c r="J199" s="557"/>
      <c r="K199" s="557" t="s">
        <v>353</v>
      </c>
      <c r="L199" s="558"/>
    </row>
    <row r="200" spans="1:12" x14ac:dyDescent="0.3">
      <c r="A200" s="571" t="s">
        <v>770</v>
      </c>
      <c r="B200" s="568"/>
      <c r="C200" s="562"/>
      <c r="D200" s="557"/>
      <c r="E200" s="557"/>
      <c r="F200" s="562"/>
      <c r="G200" s="562"/>
      <c r="H200" s="562"/>
      <c r="I200" s="557"/>
      <c r="J200" s="557"/>
      <c r="K200" s="557"/>
      <c r="L200" s="558" t="s">
        <v>770</v>
      </c>
    </row>
    <row r="201" spans="1:12" x14ac:dyDescent="0.3">
      <c r="A201" s="571" t="s">
        <v>339</v>
      </c>
      <c r="B201" s="568"/>
      <c r="C201" s="562"/>
      <c r="D201" s="557"/>
      <c r="E201" s="557"/>
      <c r="F201" s="562"/>
      <c r="G201" s="562"/>
      <c r="H201" s="562"/>
      <c r="I201" s="557"/>
      <c r="J201" s="557"/>
      <c r="K201" s="557"/>
      <c r="L201" s="558" t="s">
        <v>339</v>
      </c>
    </row>
    <row r="202" spans="1:12" x14ac:dyDescent="0.3">
      <c r="A202" s="571" t="s">
        <v>341</v>
      </c>
      <c r="B202" s="568"/>
      <c r="C202" s="562"/>
      <c r="D202" s="557"/>
      <c r="E202" s="557"/>
      <c r="F202" s="562"/>
      <c r="G202" s="562"/>
      <c r="H202" s="562"/>
      <c r="I202" s="557"/>
      <c r="J202" s="557"/>
      <c r="K202" s="557"/>
      <c r="L202" s="558" t="s">
        <v>341</v>
      </c>
    </row>
    <row r="203" spans="1:12" x14ac:dyDescent="0.3">
      <c r="A203" s="571" t="s">
        <v>330</v>
      </c>
      <c r="B203" s="568"/>
      <c r="C203" s="562" t="s">
        <v>1104</v>
      </c>
      <c r="D203" s="557" t="s">
        <v>1350</v>
      </c>
      <c r="E203" s="557"/>
      <c r="F203" s="562"/>
      <c r="G203" s="562"/>
      <c r="H203" s="562" t="s">
        <v>1474</v>
      </c>
      <c r="I203" s="557"/>
      <c r="J203" s="557"/>
      <c r="K203" s="557" t="s">
        <v>330</v>
      </c>
      <c r="L203" s="558"/>
    </row>
    <row r="204" spans="1:12" x14ac:dyDescent="0.3">
      <c r="A204" s="571" t="s">
        <v>771</v>
      </c>
      <c r="B204" s="568"/>
      <c r="C204" s="562" t="s">
        <v>1115</v>
      </c>
      <c r="D204" s="557"/>
      <c r="E204" s="557" t="s">
        <v>1342</v>
      </c>
      <c r="F204" s="562"/>
      <c r="G204" s="562"/>
      <c r="H204" s="562" t="s">
        <v>1115</v>
      </c>
      <c r="I204" s="557"/>
      <c r="J204" s="557"/>
      <c r="K204" s="557" t="s">
        <v>771</v>
      </c>
      <c r="L204" s="558"/>
    </row>
    <row r="205" spans="1:12" x14ac:dyDescent="0.3">
      <c r="A205" s="571"/>
      <c r="B205" s="568"/>
      <c r="C205" s="562"/>
      <c r="D205" s="557"/>
      <c r="E205" s="557"/>
      <c r="F205" s="562"/>
      <c r="G205" s="562"/>
      <c r="H205" s="562"/>
      <c r="I205" s="557"/>
      <c r="J205" s="557"/>
      <c r="K205" s="557" t="s">
        <v>1587</v>
      </c>
      <c r="L205" s="558"/>
    </row>
    <row r="206" spans="1:12" x14ac:dyDescent="0.3">
      <c r="A206" s="571"/>
      <c r="B206" s="568"/>
      <c r="C206" s="562"/>
      <c r="D206" s="557"/>
      <c r="E206" s="557"/>
      <c r="F206" s="562"/>
      <c r="G206" s="562"/>
      <c r="H206" s="562"/>
      <c r="I206" s="557"/>
      <c r="J206" s="557"/>
      <c r="K206" s="557"/>
      <c r="L206" s="558"/>
    </row>
    <row r="207" spans="1:12" x14ac:dyDescent="0.3">
      <c r="A207" s="571" t="s">
        <v>1066</v>
      </c>
      <c r="B207" s="568" t="s">
        <v>1066</v>
      </c>
      <c r="C207" s="562" t="s">
        <v>1066</v>
      </c>
      <c r="D207" s="557" t="s">
        <v>1360</v>
      </c>
      <c r="E207" s="557" t="s">
        <v>1362</v>
      </c>
      <c r="F207" s="562" t="s">
        <v>1360</v>
      </c>
      <c r="G207" s="562" t="s">
        <v>1482</v>
      </c>
      <c r="H207" s="562" t="s">
        <v>1484</v>
      </c>
      <c r="I207" s="557" t="s">
        <v>1359</v>
      </c>
      <c r="J207" s="557" t="s">
        <v>1361</v>
      </c>
      <c r="K207" s="557" t="s">
        <v>1483</v>
      </c>
      <c r="L207" s="558" t="s">
        <v>1590</v>
      </c>
    </row>
    <row r="208" spans="1:12" x14ac:dyDescent="0.3">
      <c r="A208" s="571" t="s">
        <v>178</v>
      </c>
      <c r="B208" s="568"/>
      <c r="C208" s="562"/>
      <c r="D208" s="557"/>
      <c r="E208" s="557"/>
      <c r="F208" s="562"/>
      <c r="G208" s="562"/>
      <c r="H208" s="562"/>
      <c r="I208" s="557"/>
      <c r="J208" s="557"/>
      <c r="K208" s="557"/>
      <c r="L208" s="558" t="s">
        <v>1593</v>
      </c>
    </row>
    <row r="209" spans="1:12" x14ac:dyDescent="0.3">
      <c r="A209" s="571" t="s">
        <v>182</v>
      </c>
      <c r="B209" s="568"/>
      <c r="C209" s="562"/>
      <c r="D209" s="557"/>
      <c r="E209" s="557"/>
      <c r="F209" s="562"/>
      <c r="G209" s="562"/>
      <c r="H209" s="562"/>
      <c r="I209" s="557"/>
      <c r="J209" s="557"/>
      <c r="K209" s="557"/>
      <c r="L209" s="558" t="s">
        <v>1594</v>
      </c>
    </row>
    <row r="210" spans="1:12" x14ac:dyDescent="0.3">
      <c r="A210" s="571" t="s">
        <v>1067</v>
      </c>
      <c r="B210" s="568" t="s">
        <v>1137</v>
      </c>
      <c r="C210" s="562" t="s">
        <v>1137</v>
      </c>
      <c r="D210" s="557" t="s">
        <v>1137</v>
      </c>
      <c r="E210" s="557"/>
      <c r="F210" s="562"/>
      <c r="G210" s="562" t="s">
        <v>1488</v>
      </c>
      <c r="H210" s="562"/>
      <c r="I210" s="557"/>
      <c r="J210" s="557" t="s">
        <v>1067</v>
      </c>
      <c r="K210" s="557"/>
      <c r="L210" s="558"/>
    </row>
    <row r="211" spans="1:12" x14ac:dyDescent="0.3">
      <c r="A211" s="571" t="s">
        <v>194</v>
      </c>
      <c r="B211" s="568" t="s">
        <v>1133</v>
      </c>
      <c r="C211" s="562" t="s">
        <v>1133</v>
      </c>
      <c r="D211" s="557" t="s">
        <v>1133</v>
      </c>
      <c r="E211" s="557"/>
      <c r="F211" s="562"/>
      <c r="G211" s="562" t="s">
        <v>1485</v>
      </c>
      <c r="H211" s="562"/>
      <c r="I211" s="557"/>
      <c r="J211" s="557" t="s">
        <v>194</v>
      </c>
      <c r="K211" s="557"/>
      <c r="L211" s="558"/>
    </row>
    <row r="212" spans="1:12" x14ac:dyDescent="0.3">
      <c r="A212" s="571" t="s">
        <v>1068</v>
      </c>
      <c r="B212" s="568"/>
      <c r="C212" s="562"/>
      <c r="D212" s="557"/>
      <c r="E212" s="557"/>
      <c r="F212" s="562"/>
      <c r="G212" s="562"/>
      <c r="H212" s="562"/>
      <c r="I212" s="557"/>
      <c r="J212" s="557"/>
      <c r="K212" s="557"/>
      <c r="L212" s="558"/>
    </row>
    <row r="213" spans="1:12" x14ac:dyDescent="0.3">
      <c r="A213" s="571"/>
      <c r="B213" s="568" t="s">
        <v>1136</v>
      </c>
      <c r="C213" s="562" t="s">
        <v>1136</v>
      </c>
      <c r="D213" s="557" t="s">
        <v>1136</v>
      </c>
      <c r="E213" s="557"/>
      <c r="F213" s="562"/>
      <c r="G213" s="562" t="s">
        <v>1487</v>
      </c>
      <c r="H213" s="562"/>
      <c r="I213" s="557"/>
      <c r="J213" s="557" t="s">
        <v>1135</v>
      </c>
      <c r="K213" s="557"/>
      <c r="L213" s="558"/>
    </row>
    <row r="214" spans="1:12" x14ac:dyDescent="0.3">
      <c r="A214" s="571"/>
      <c r="B214" s="568" t="s">
        <v>1139</v>
      </c>
      <c r="C214" s="562" t="s">
        <v>1139</v>
      </c>
      <c r="D214" s="557" t="s">
        <v>1139</v>
      </c>
      <c r="E214" s="557"/>
      <c r="F214" s="562" t="s">
        <v>1490</v>
      </c>
      <c r="G214" s="562"/>
      <c r="H214" s="562"/>
      <c r="I214" s="557" t="s">
        <v>1138</v>
      </c>
      <c r="J214" s="557"/>
      <c r="K214" s="557"/>
      <c r="L214" s="558"/>
    </row>
    <row r="215" spans="1:12" x14ac:dyDescent="0.3">
      <c r="A215" s="571"/>
      <c r="B215" s="568" t="s">
        <v>1141</v>
      </c>
      <c r="C215" s="562" t="s">
        <v>1141</v>
      </c>
      <c r="D215" s="557" t="s">
        <v>1141</v>
      </c>
      <c r="E215" s="557"/>
      <c r="F215" s="562"/>
      <c r="G215" s="562" t="s">
        <v>1489</v>
      </c>
      <c r="H215" s="562"/>
      <c r="I215" s="557"/>
      <c r="J215" s="557" t="s">
        <v>1140</v>
      </c>
      <c r="K215" s="557"/>
      <c r="L215" s="558"/>
    </row>
    <row r="216" spans="1:12" x14ac:dyDescent="0.3">
      <c r="A216" s="571"/>
      <c r="B216" s="568"/>
      <c r="C216" s="562"/>
      <c r="D216" s="557"/>
      <c r="E216" s="557"/>
      <c r="F216" s="562"/>
      <c r="G216" s="562"/>
      <c r="H216" s="562"/>
      <c r="I216" s="557"/>
      <c r="J216" s="557"/>
      <c r="K216" s="557"/>
      <c r="L216" s="558"/>
    </row>
    <row r="217" spans="1:12" x14ac:dyDescent="0.3">
      <c r="A217" s="571" t="s">
        <v>250</v>
      </c>
      <c r="B217" s="568"/>
      <c r="C217" s="562"/>
      <c r="D217" s="557"/>
      <c r="E217" s="557"/>
      <c r="F217" s="562"/>
      <c r="G217" s="562"/>
      <c r="H217" s="562"/>
      <c r="I217" s="557"/>
      <c r="J217" s="557"/>
      <c r="K217" s="557"/>
      <c r="L217" s="558" t="s">
        <v>1595</v>
      </c>
    </row>
    <row r="218" spans="1:12" x14ac:dyDescent="0.3">
      <c r="A218" s="571" t="s">
        <v>251</v>
      </c>
      <c r="B218" s="568"/>
      <c r="C218" s="562"/>
      <c r="D218" s="557"/>
      <c r="E218" s="557"/>
      <c r="F218" s="562"/>
      <c r="G218" s="562"/>
      <c r="H218" s="562"/>
      <c r="I218" s="557"/>
      <c r="J218" s="557"/>
      <c r="K218" s="557"/>
      <c r="L218" s="558" t="s">
        <v>1596</v>
      </c>
    </row>
    <row r="219" spans="1:12" x14ac:dyDescent="0.3">
      <c r="A219" s="571" t="s">
        <v>253</v>
      </c>
      <c r="B219" s="568"/>
      <c r="C219" s="562"/>
      <c r="D219" s="557"/>
      <c r="E219" s="557"/>
      <c r="F219" s="562"/>
      <c r="G219" s="562" t="s">
        <v>1486</v>
      </c>
      <c r="H219" s="562"/>
      <c r="I219" s="557"/>
      <c r="J219" s="557" t="s">
        <v>253</v>
      </c>
      <c r="K219" s="557"/>
      <c r="L219" s="558"/>
    </row>
    <row r="220" spans="1:12" x14ac:dyDescent="0.3">
      <c r="A220" s="571" t="s">
        <v>1591</v>
      </c>
      <c r="B220" s="568" t="s">
        <v>1134</v>
      </c>
      <c r="C220" s="562" t="s">
        <v>1134</v>
      </c>
      <c r="D220" s="557" t="s">
        <v>1134</v>
      </c>
      <c r="E220" s="557"/>
      <c r="F220" s="562"/>
      <c r="G220" s="562"/>
      <c r="H220" s="562"/>
      <c r="I220" s="557"/>
      <c r="J220" s="557" t="s">
        <v>1592</v>
      </c>
      <c r="K220" s="557"/>
      <c r="L220" s="558"/>
    </row>
    <row r="221" spans="1:12" x14ac:dyDescent="0.3">
      <c r="A221" s="571"/>
      <c r="B221" s="568"/>
      <c r="C221" s="562"/>
      <c r="D221" s="557"/>
      <c r="E221" s="557"/>
      <c r="F221" s="562"/>
      <c r="G221" s="562"/>
      <c r="H221" s="562"/>
      <c r="I221" s="557"/>
      <c r="J221" s="557"/>
      <c r="K221" s="557"/>
      <c r="L221" s="558"/>
    </row>
    <row r="222" spans="1:12" x14ac:dyDescent="0.3">
      <c r="A222" s="571" t="s">
        <v>1069</v>
      </c>
      <c r="B222" s="568" t="s">
        <v>1069</v>
      </c>
      <c r="C222" s="562" t="s">
        <v>1069</v>
      </c>
      <c r="D222" s="557" t="s">
        <v>1308</v>
      </c>
      <c r="E222" s="557" t="s">
        <v>1310</v>
      </c>
      <c r="F222" s="562" t="s">
        <v>1308</v>
      </c>
      <c r="G222" s="562" t="s">
        <v>1310</v>
      </c>
      <c r="H222" s="562" t="s">
        <v>1441</v>
      </c>
      <c r="I222" s="557" t="s">
        <v>1307</v>
      </c>
      <c r="J222" s="557" t="s">
        <v>1309</v>
      </c>
      <c r="K222" s="557" t="s">
        <v>1440</v>
      </c>
      <c r="L222" s="558" t="s">
        <v>1584</v>
      </c>
    </row>
    <row r="223" spans="1:12" x14ac:dyDescent="0.3">
      <c r="A223" s="571" t="s">
        <v>200</v>
      </c>
      <c r="B223" s="568"/>
      <c r="C223" s="562" t="s">
        <v>200</v>
      </c>
      <c r="D223" s="557"/>
      <c r="E223" s="557" t="s">
        <v>1318</v>
      </c>
      <c r="F223" s="562"/>
      <c r="G223" s="562"/>
      <c r="H223" s="562" t="s">
        <v>1458</v>
      </c>
      <c r="I223" s="557"/>
      <c r="J223" s="557"/>
      <c r="K223" s="557" t="s">
        <v>200</v>
      </c>
      <c r="L223" s="558"/>
    </row>
    <row r="224" spans="1:12" x14ac:dyDescent="0.3">
      <c r="A224" s="571" t="s">
        <v>234</v>
      </c>
      <c r="B224" s="568"/>
      <c r="C224" s="562" t="s">
        <v>234</v>
      </c>
      <c r="D224" s="557"/>
      <c r="E224" s="557" t="s">
        <v>1317</v>
      </c>
      <c r="F224" s="562"/>
      <c r="G224" s="562"/>
      <c r="H224" s="562" t="s">
        <v>1457</v>
      </c>
      <c r="I224" s="557"/>
      <c r="J224" s="557"/>
      <c r="K224" s="557" t="s">
        <v>234</v>
      </c>
      <c r="L224" s="558"/>
    </row>
    <row r="225" spans="1:12" x14ac:dyDescent="0.3">
      <c r="A225" s="571" t="s">
        <v>204</v>
      </c>
      <c r="B225" s="568"/>
      <c r="C225" s="562" t="s">
        <v>204</v>
      </c>
      <c r="D225" s="557"/>
      <c r="E225" s="557" t="s">
        <v>1311</v>
      </c>
      <c r="F225" s="562"/>
      <c r="G225" s="562"/>
      <c r="H225" s="562" t="s">
        <v>1451</v>
      </c>
      <c r="I225" s="557"/>
      <c r="J225" s="557"/>
      <c r="K225" s="557" t="s">
        <v>204</v>
      </c>
      <c r="L225" s="558"/>
    </row>
    <row r="226" spans="1:12" x14ac:dyDescent="0.3">
      <c r="A226" s="571" t="s">
        <v>207</v>
      </c>
      <c r="B226" s="568"/>
      <c r="C226" s="562" t="s">
        <v>207</v>
      </c>
      <c r="D226" s="557"/>
      <c r="E226" s="557" t="s">
        <v>1316</v>
      </c>
      <c r="F226" s="562"/>
      <c r="G226" s="562"/>
      <c r="H226" s="562" t="s">
        <v>1456</v>
      </c>
      <c r="I226" s="557"/>
      <c r="J226" s="557"/>
      <c r="K226" s="557" t="s">
        <v>207</v>
      </c>
      <c r="L226" s="558"/>
    </row>
    <row r="227" spans="1:12" x14ac:dyDescent="0.3">
      <c r="A227" s="571" t="s">
        <v>209</v>
      </c>
      <c r="B227" s="568"/>
      <c r="C227" s="562" t="s">
        <v>209</v>
      </c>
      <c r="D227" s="557"/>
      <c r="E227" s="557" t="s">
        <v>1314</v>
      </c>
      <c r="F227" s="562"/>
      <c r="G227" s="562"/>
      <c r="H227" s="562" t="s">
        <v>1455</v>
      </c>
      <c r="I227" s="557"/>
      <c r="J227" s="557"/>
      <c r="K227" s="557" t="s">
        <v>209</v>
      </c>
      <c r="L227" s="558"/>
    </row>
    <row r="228" spans="1:12" x14ac:dyDescent="0.3">
      <c r="A228" s="571" t="s">
        <v>238</v>
      </c>
      <c r="B228" s="568"/>
      <c r="C228" s="562"/>
      <c r="D228" s="557"/>
      <c r="E228" s="557" t="s">
        <v>1319</v>
      </c>
      <c r="F228" s="562"/>
      <c r="G228" s="562"/>
      <c r="H228" s="562" t="s">
        <v>1319</v>
      </c>
      <c r="I228" s="557"/>
      <c r="J228" s="557"/>
      <c r="K228" s="557" t="s">
        <v>238</v>
      </c>
      <c r="L228" s="558"/>
    </row>
    <row r="229" spans="1:12" x14ac:dyDescent="0.3">
      <c r="A229" s="571" t="s">
        <v>217</v>
      </c>
      <c r="B229" s="568"/>
      <c r="C229" s="562" t="s">
        <v>217</v>
      </c>
      <c r="D229" s="557" t="s">
        <v>1323</v>
      </c>
      <c r="E229" s="557"/>
      <c r="F229" s="562"/>
      <c r="G229" s="562" t="s">
        <v>1450</v>
      </c>
      <c r="H229" s="562"/>
      <c r="I229" s="557"/>
      <c r="J229" s="557" t="s">
        <v>217</v>
      </c>
      <c r="K229" s="557"/>
      <c r="L229" s="558"/>
    </row>
    <row r="230" spans="1:12" x14ac:dyDescent="0.3">
      <c r="A230" s="571" t="s">
        <v>215</v>
      </c>
      <c r="B230" s="568" t="s">
        <v>215</v>
      </c>
      <c r="C230" s="562" t="s">
        <v>215</v>
      </c>
      <c r="D230" s="557" t="s">
        <v>1324</v>
      </c>
      <c r="E230" s="557"/>
      <c r="F230" s="562"/>
      <c r="G230" s="562" t="s">
        <v>1446</v>
      </c>
      <c r="H230" s="562"/>
      <c r="I230" s="557"/>
      <c r="J230" s="557" t="s">
        <v>215</v>
      </c>
      <c r="K230" s="557"/>
      <c r="L230" s="558"/>
    </row>
    <row r="231" spans="1:12" x14ac:dyDescent="0.3">
      <c r="A231" s="571" t="s">
        <v>221</v>
      </c>
      <c r="B231" s="568"/>
      <c r="C231" s="562" t="s">
        <v>221</v>
      </c>
      <c r="D231" s="557" t="s">
        <v>1325</v>
      </c>
      <c r="E231" s="557"/>
      <c r="F231" s="562"/>
      <c r="G231" s="562" t="s">
        <v>1449</v>
      </c>
      <c r="H231" s="562"/>
      <c r="I231" s="557"/>
      <c r="J231" s="557" t="s">
        <v>221</v>
      </c>
      <c r="K231" s="557"/>
      <c r="L231" s="558"/>
    </row>
    <row r="232" spans="1:12" x14ac:dyDescent="0.3">
      <c r="A232" s="571" t="s">
        <v>212</v>
      </c>
      <c r="B232" s="568" t="s">
        <v>212</v>
      </c>
      <c r="C232" s="562" t="s">
        <v>212</v>
      </c>
      <c r="D232" s="557" t="s">
        <v>1326</v>
      </c>
      <c r="E232" s="557"/>
      <c r="F232" s="562"/>
      <c r="G232" s="562" t="s">
        <v>1447</v>
      </c>
      <c r="H232" s="562"/>
      <c r="I232" s="557"/>
      <c r="J232" s="557" t="s">
        <v>212</v>
      </c>
      <c r="K232" s="557"/>
      <c r="L232" s="558"/>
    </row>
    <row r="233" spans="1:12" x14ac:dyDescent="0.3">
      <c r="A233" s="571" t="s">
        <v>225</v>
      </c>
      <c r="B233" s="568" t="s">
        <v>225</v>
      </c>
      <c r="C233" s="562" t="s">
        <v>225</v>
      </c>
      <c r="D233" s="557" t="s">
        <v>1327</v>
      </c>
      <c r="E233" s="557"/>
      <c r="F233" s="562"/>
      <c r="G233" s="562"/>
      <c r="H233" s="562"/>
      <c r="I233" s="557"/>
      <c r="J233" s="557"/>
      <c r="K233" s="557"/>
      <c r="L233" s="558"/>
    </row>
    <row r="234" spans="1:12" x14ac:dyDescent="0.3">
      <c r="A234" s="571" t="s">
        <v>229</v>
      </c>
      <c r="B234" s="568" t="s">
        <v>229</v>
      </c>
      <c r="C234" s="562" t="s">
        <v>229</v>
      </c>
      <c r="D234" s="557" t="s">
        <v>1328</v>
      </c>
      <c r="E234" s="557"/>
      <c r="F234" s="562" t="s">
        <v>1442</v>
      </c>
      <c r="G234" s="562"/>
      <c r="H234" s="562"/>
      <c r="I234" s="557" t="s">
        <v>229</v>
      </c>
      <c r="J234" s="557"/>
      <c r="K234" s="557"/>
      <c r="L234" s="558"/>
    </row>
    <row r="235" spans="1:12" x14ac:dyDescent="0.3">
      <c r="A235" s="571" t="s">
        <v>231</v>
      </c>
      <c r="B235" s="568"/>
      <c r="C235" s="562" t="s">
        <v>231</v>
      </c>
      <c r="D235" s="557"/>
      <c r="E235" s="557" t="s">
        <v>1315</v>
      </c>
      <c r="F235" s="562"/>
      <c r="G235" s="562"/>
      <c r="H235" s="562" t="s">
        <v>1315</v>
      </c>
      <c r="I235" s="557"/>
      <c r="J235" s="557"/>
      <c r="K235" s="557" t="s">
        <v>231</v>
      </c>
      <c r="L235" s="558"/>
    </row>
    <row r="236" spans="1:12" x14ac:dyDescent="0.3">
      <c r="A236" s="571" t="s">
        <v>663</v>
      </c>
      <c r="B236" s="568"/>
      <c r="C236" s="562"/>
      <c r="D236" s="557"/>
      <c r="E236" s="557" t="s">
        <v>1321</v>
      </c>
      <c r="F236" s="562"/>
      <c r="G236" s="562"/>
      <c r="H236" s="562" t="s">
        <v>1453</v>
      </c>
      <c r="I236" s="557"/>
      <c r="J236" s="557"/>
      <c r="K236" s="557" t="s">
        <v>663</v>
      </c>
      <c r="L236" s="558"/>
    </row>
    <row r="237" spans="1:12" x14ac:dyDescent="0.3">
      <c r="A237" s="571"/>
      <c r="B237" s="568"/>
      <c r="C237" s="562"/>
      <c r="D237" s="557"/>
      <c r="E237" s="557"/>
      <c r="F237" s="562"/>
      <c r="G237" s="562"/>
      <c r="H237" s="562"/>
      <c r="I237" s="557"/>
      <c r="J237" s="557"/>
      <c r="K237" s="557"/>
      <c r="L237" s="558"/>
    </row>
    <row r="238" spans="1:12" x14ac:dyDescent="0.3">
      <c r="A238" s="571" t="s">
        <v>256</v>
      </c>
      <c r="B238" s="568"/>
      <c r="C238" s="562" t="s">
        <v>256</v>
      </c>
      <c r="D238" s="557"/>
      <c r="E238" s="557" t="s">
        <v>1313</v>
      </c>
      <c r="F238" s="562"/>
      <c r="G238" s="562"/>
      <c r="H238" s="562" t="s">
        <v>1454</v>
      </c>
      <c r="I238" s="557"/>
      <c r="J238" s="557"/>
      <c r="K238" s="557" t="s">
        <v>256</v>
      </c>
      <c r="L238" s="558"/>
    </row>
    <row r="239" spans="1:12" x14ac:dyDescent="0.3">
      <c r="A239" s="571" t="s">
        <v>260</v>
      </c>
      <c r="B239" s="568" t="s">
        <v>260</v>
      </c>
      <c r="C239" s="562" t="s">
        <v>260</v>
      </c>
      <c r="D239" s="557" t="s">
        <v>1329</v>
      </c>
      <c r="E239" s="557"/>
      <c r="F239" s="562"/>
      <c r="G239" s="562" t="s">
        <v>1445</v>
      </c>
      <c r="H239" s="562"/>
      <c r="I239" s="557"/>
      <c r="J239" s="557" t="s">
        <v>260</v>
      </c>
      <c r="K239" s="557"/>
      <c r="L239" s="558"/>
    </row>
    <row r="240" spans="1:12" x14ac:dyDescent="0.3">
      <c r="A240" s="571" t="s">
        <v>264</v>
      </c>
      <c r="B240" s="568"/>
      <c r="C240" s="562" t="s">
        <v>264</v>
      </c>
      <c r="D240" s="557" t="s">
        <v>1330</v>
      </c>
      <c r="E240" s="557"/>
      <c r="F240" s="562"/>
      <c r="G240" s="562" t="s">
        <v>1444</v>
      </c>
      <c r="H240" s="562"/>
      <c r="I240" s="557"/>
      <c r="J240" s="557" t="s">
        <v>264</v>
      </c>
      <c r="K240" s="557"/>
      <c r="L240" s="558"/>
    </row>
    <row r="241" spans="1:12" x14ac:dyDescent="0.3">
      <c r="A241" s="571" t="s">
        <v>275</v>
      </c>
      <c r="B241" s="568"/>
      <c r="C241" s="562"/>
      <c r="D241" s="557" t="s">
        <v>1320</v>
      </c>
      <c r="E241" s="557"/>
      <c r="F241" s="562"/>
      <c r="G241" s="562" t="s">
        <v>1448</v>
      </c>
      <c r="H241" s="562"/>
      <c r="I241" s="557"/>
      <c r="J241" s="557" t="s">
        <v>275</v>
      </c>
      <c r="K241" s="557"/>
      <c r="L241" s="558"/>
    </row>
    <row r="242" spans="1:12" x14ac:dyDescent="0.3">
      <c r="A242" s="571" t="s">
        <v>278</v>
      </c>
      <c r="B242" s="568"/>
      <c r="C242" s="562"/>
      <c r="D242" s="557"/>
      <c r="E242" s="557" t="s">
        <v>1322</v>
      </c>
      <c r="F242" s="562"/>
      <c r="G242" s="562"/>
      <c r="H242" s="562" t="s">
        <v>1452</v>
      </c>
      <c r="I242" s="557"/>
      <c r="J242" s="557"/>
      <c r="K242" s="557" t="s">
        <v>278</v>
      </c>
      <c r="L242" s="558"/>
    </row>
    <row r="243" spans="1:12" x14ac:dyDescent="0.3">
      <c r="A243" s="571" t="s">
        <v>268</v>
      </c>
      <c r="B243" s="568"/>
      <c r="C243" s="562"/>
      <c r="D243" s="557"/>
      <c r="E243" s="557"/>
      <c r="F243" s="562"/>
      <c r="G243" s="562" t="s">
        <v>1331</v>
      </c>
      <c r="H243" s="562"/>
      <c r="I243" s="557"/>
      <c r="J243" s="557" t="s">
        <v>268</v>
      </c>
      <c r="K243" s="557"/>
      <c r="L243" s="558"/>
    </row>
    <row r="244" spans="1:12" x14ac:dyDescent="0.3">
      <c r="A244" s="571" t="s">
        <v>1070</v>
      </c>
      <c r="B244" s="568"/>
      <c r="C244" s="562"/>
      <c r="D244" s="557"/>
      <c r="E244" s="557"/>
      <c r="F244" s="562"/>
      <c r="G244" s="562" t="s">
        <v>1443</v>
      </c>
      <c r="H244" s="562"/>
      <c r="I244" s="557"/>
      <c r="J244" s="557" t="s">
        <v>1070</v>
      </c>
      <c r="K244" s="557"/>
      <c r="L244" s="558"/>
    </row>
    <row r="245" spans="1:12" x14ac:dyDescent="0.3">
      <c r="A245" s="571" t="s">
        <v>271</v>
      </c>
      <c r="B245" s="568"/>
      <c r="C245" s="562" t="s">
        <v>271</v>
      </c>
      <c r="D245" s="557"/>
      <c r="E245" s="557" t="s">
        <v>1312</v>
      </c>
      <c r="F245" s="562"/>
      <c r="G245" s="562" t="s">
        <v>1312</v>
      </c>
      <c r="H245" s="562"/>
      <c r="I245" s="557"/>
      <c r="J245" s="557" t="s">
        <v>271</v>
      </c>
      <c r="K245" s="557"/>
      <c r="L245" s="558"/>
    </row>
    <row r="246" spans="1:12" x14ac:dyDescent="0.3">
      <c r="A246" s="571" t="s">
        <v>1103</v>
      </c>
      <c r="B246" s="568" t="s">
        <v>1103</v>
      </c>
      <c r="C246" s="562" t="s">
        <v>1071</v>
      </c>
      <c r="D246" s="557" t="s">
        <v>1332</v>
      </c>
      <c r="E246" s="557"/>
      <c r="F246" s="562"/>
      <c r="G246" s="562"/>
      <c r="H246" s="562"/>
      <c r="I246" s="557"/>
      <c r="J246" s="557"/>
      <c r="K246" s="557"/>
      <c r="L246" s="558"/>
    </row>
    <row r="247" spans="1:12" x14ac:dyDescent="0.3">
      <c r="A247" s="571" t="s">
        <v>1333</v>
      </c>
      <c r="B247" s="568" t="s">
        <v>1333</v>
      </c>
      <c r="C247" s="562" t="s">
        <v>1333</v>
      </c>
      <c r="D247" s="557" t="s">
        <v>1333</v>
      </c>
      <c r="E247" s="557"/>
      <c r="F247" s="562"/>
      <c r="G247" s="562"/>
      <c r="H247" s="562"/>
      <c r="I247" s="557"/>
      <c r="J247" s="557"/>
      <c r="K247" s="557"/>
      <c r="L247" s="558"/>
    </row>
    <row r="248" spans="1:12" x14ac:dyDescent="0.3">
      <c r="A248" s="571"/>
      <c r="B248" s="568"/>
      <c r="C248" s="562"/>
      <c r="D248" s="557"/>
      <c r="E248" s="557"/>
      <c r="F248" s="562"/>
      <c r="G248" s="562"/>
      <c r="H248" s="562"/>
      <c r="I248" s="557"/>
      <c r="J248" s="557"/>
      <c r="K248" s="557"/>
      <c r="L248" s="558"/>
    </row>
    <row r="249" spans="1:12" x14ac:dyDescent="0.3">
      <c r="A249" s="571" t="s">
        <v>1072</v>
      </c>
      <c r="B249" s="568" t="s">
        <v>1072</v>
      </c>
      <c r="C249" s="562" t="s">
        <v>1072</v>
      </c>
      <c r="D249" s="557" t="s">
        <v>1368</v>
      </c>
      <c r="E249" s="557" t="s">
        <v>1370</v>
      </c>
      <c r="F249" s="562" t="s">
        <v>1368</v>
      </c>
      <c r="G249" s="562" t="s">
        <v>1370</v>
      </c>
      <c r="H249" s="562" t="s">
        <v>1498</v>
      </c>
      <c r="I249" s="557" t="s">
        <v>1367</v>
      </c>
      <c r="J249" s="557" t="s">
        <v>1369</v>
      </c>
      <c r="K249" s="557" t="s">
        <v>1497</v>
      </c>
      <c r="L249" s="558" t="s">
        <v>1599</v>
      </c>
    </row>
    <row r="250" spans="1:12" x14ac:dyDescent="0.3">
      <c r="A250" s="571" t="s">
        <v>244</v>
      </c>
      <c r="B250" s="568"/>
      <c r="C250" s="562"/>
      <c r="D250" s="557"/>
      <c r="E250" s="557"/>
      <c r="F250" s="562"/>
      <c r="G250" s="562"/>
      <c r="H250" s="562"/>
      <c r="I250" s="557"/>
      <c r="J250" s="557"/>
      <c r="K250" s="557"/>
      <c r="L250" s="558" t="s">
        <v>1600</v>
      </c>
    </row>
    <row r="251" spans="1:12" x14ac:dyDescent="0.3">
      <c r="A251" s="571" t="s">
        <v>248</v>
      </c>
      <c r="B251" s="568"/>
      <c r="C251" s="562"/>
      <c r="D251" s="557"/>
      <c r="E251" s="557"/>
      <c r="F251" s="562"/>
      <c r="G251" s="562"/>
      <c r="H251" s="562"/>
      <c r="I251" s="557"/>
      <c r="J251" s="557"/>
      <c r="K251" s="557"/>
      <c r="L251" s="558" t="s">
        <v>1601</v>
      </c>
    </row>
    <row r="252" spans="1:12" x14ac:dyDescent="0.3">
      <c r="A252" s="571" t="s">
        <v>99</v>
      </c>
      <c r="B252" s="568"/>
      <c r="C252" s="562"/>
      <c r="D252" s="557"/>
      <c r="E252" s="557"/>
      <c r="F252" s="562"/>
      <c r="G252" s="562"/>
      <c r="H252" s="562"/>
      <c r="I252" s="557"/>
      <c r="J252" s="557"/>
      <c r="K252" s="557"/>
      <c r="L252" s="558" t="s">
        <v>1602</v>
      </c>
    </row>
    <row r="253" spans="1:12" x14ac:dyDescent="0.3">
      <c r="A253" s="571" t="s">
        <v>113</v>
      </c>
      <c r="B253" s="568"/>
      <c r="C253" s="562" t="s">
        <v>1152</v>
      </c>
      <c r="D253" s="557"/>
      <c r="E253" s="557" t="s">
        <v>1152</v>
      </c>
      <c r="F253" s="562"/>
      <c r="G253" s="562"/>
      <c r="H253" s="562" t="s">
        <v>1152</v>
      </c>
      <c r="I253" s="557"/>
      <c r="J253" s="557"/>
      <c r="K253" s="557" t="s">
        <v>113</v>
      </c>
      <c r="L253" s="558"/>
    </row>
    <row r="254" spans="1:12" x14ac:dyDescent="0.3">
      <c r="A254" s="571" t="s">
        <v>120</v>
      </c>
      <c r="B254" s="568"/>
      <c r="C254" s="562" t="s">
        <v>1154</v>
      </c>
      <c r="D254" s="557"/>
      <c r="E254" s="557" t="s">
        <v>1374</v>
      </c>
      <c r="F254" s="562"/>
      <c r="G254" s="562"/>
      <c r="H254" s="562" t="s">
        <v>1503</v>
      </c>
      <c r="I254" s="557"/>
      <c r="J254" s="557"/>
      <c r="K254" s="557" t="s">
        <v>120</v>
      </c>
      <c r="L254" s="558"/>
    </row>
    <row r="255" spans="1:12" x14ac:dyDescent="0.3">
      <c r="A255" s="571" t="s">
        <v>109</v>
      </c>
      <c r="B255" s="568" t="s">
        <v>1150</v>
      </c>
      <c r="C255" s="562" t="s">
        <v>1150</v>
      </c>
      <c r="D255" s="557" t="s">
        <v>1150</v>
      </c>
      <c r="E255" s="557"/>
      <c r="F255" s="562"/>
      <c r="G255" s="562" t="s">
        <v>1499</v>
      </c>
      <c r="H255" s="562"/>
      <c r="I255" s="557"/>
      <c r="J255" s="557" t="s">
        <v>109</v>
      </c>
      <c r="K255" s="557"/>
      <c r="L255" s="558"/>
    </row>
    <row r="256" spans="1:12" x14ac:dyDescent="0.3">
      <c r="A256" s="571" t="s">
        <v>124</v>
      </c>
      <c r="B256" s="568"/>
      <c r="C256" s="562" t="s">
        <v>1157</v>
      </c>
      <c r="D256" s="557" t="s">
        <v>1157</v>
      </c>
      <c r="E256" s="557"/>
      <c r="F256" s="562"/>
      <c r="G256" s="562"/>
      <c r="H256" s="562" t="s">
        <v>1157</v>
      </c>
      <c r="I256" s="557"/>
      <c r="J256" s="557"/>
      <c r="K256" s="557" t="s">
        <v>124</v>
      </c>
      <c r="L256" s="558"/>
    </row>
    <row r="257" spans="1:12" x14ac:dyDescent="0.3">
      <c r="A257" s="571" t="s">
        <v>132</v>
      </c>
      <c r="B257" s="568"/>
      <c r="C257" s="562" t="s">
        <v>1158</v>
      </c>
      <c r="D257" s="557" t="s">
        <v>1158</v>
      </c>
      <c r="E257" s="557"/>
      <c r="F257" s="562"/>
      <c r="G257" s="562"/>
      <c r="H257" s="562" t="s">
        <v>1502</v>
      </c>
      <c r="I257" s="557"/>
      <c r="J257" s="557"/>
      <c r="K257" s="557" t="s">
        <v>132</v>
      </c>
      <c r="L257" s="558"/>
    </row>
    <row r="258" spans="1:12" x14ac:dyDescent="0.3">
      <c r="A258" s="571" t="s">
        <v>128</v>
      </c>
      <c r="B258" s="568"/>
      <c r="C258" s="562" t="s">
        <v>1156</v>
      </c>
      <c r="D258" s="557"/>
      <c r="E258" s="557" t="s">
        <v>1372</v>
      </c>
      <c r="F258" s="562"/>
      <c r="G258" s="562" t="s">
        <v>1500</v>
      </c>
      <c r="H258" s="562"/>
      <c r="I258" s="557"/>
      <c r="J258" s="557" t="s">
        <v>128</v>
      </c>
      <c r="K258" s="557"/>
      <c r="L258" s="558"/>
    </row>
    <row r="259" spans="1:12" x14ac:dyDescent="0.3">
      <c r="A259" s="571" t="s">
        <v>116</v>
      </c>
      <c r="B259" s="568" t="s">
        <v>1151</v>
      </c>
      <c r="C259" s="562" t="s">
        <v>1151</v>
      </c>
      <c r="D259" s="557" t="s">
        <v>1377</v>
      </c>
      <c r="E259" s="557"/>
      <c r="F259" s="562" t="s">
        <v>1377</v>
      </c>
      <c r="G259" s="562"/>
      <c r="H259" s="562"/>
      <c r="I259" s="557" t="s">
        <v>116</v>
      </c>
      <c r="J259" s="557"/>
      <c r="K259" s="557"/>
      <c r="L259" s="558"/>
    </row>
    <row r="260" spans="1:12" x14ac:dyDescent="0.3">
      <c r="A260" s="571"/>
      <c r="B260" s="568"/>
      <c r="C260" s="562"/>
      <c r="D260" s="557"/>
      <c r="E260" s="557"/>
      <c r="F260" s="562"/>
      <c r="G260" s="562"/>
      <c r="H260" s="562"/>
      <c r="I260" s="557"/>
      <c r="J260" s="557"/>
      <c r="K260" s="557"/>
      <c r="L260" s="558"/>
    </row>
    <row r="261" spans="1:12" x14ac:dyDescent="0.3">
      <c r="A261" s="571" t="s">
        <v>282</v>
      </c>
      <c r="B261" s="568"/>
      <c r="C261" s="562"/>
      <c r="D261" s="557"/>
      <c r="E261" s="557"/>
      <c r="F261" s="562"/>
      <c r="G261" s="562"/>
      <c r="H261" s="562"/>
      <c r="I261" s="557"/>
      <c r="J261" s="557"/>
      <c r="K261" s="557"/>
      <c r="L261" s="558" t="s">
        <v>1603</v>
      </c>
    </row>
    <row r="262" spans="1:12" x14ac:dyDescent="0.3">
      <c r="A262" s="571" t="s">
        <v>285</v>
      </c>
      <c r="B262" s="568"/>
      <c r="C262" s="562" t="s">
        <v>1153</v>
      </c>
      <c r="D262" s="557"/>
      <c r="E262" s="557" t="s">
        <v>1373</v>
      </c>
      <c r="F262" s="562"/>
      <c r="G262" s="562"/>
      <c r="H262" s="562" t="s">
        <v>1373</v>
      </c>
      <c r="I262" s="557"/>
      <c r="J262" s="557"/>
      <c r="K262" s="557" t="s">
        <v>285</v>
      </c>
      <c r="L262" s="558"/>
    </row>
    <row r="263" spans="1:12" x14ac:dyDescent="0.3">
      <c r="A263" s="571" t="s">
        <v>288</v>
      </c>
      <c r="B263" s="568"/>
      <c r="C263" s="562"/>
      <c r="D263" s="557"/>
      <c r="E263" s="557"/>
      <c r="F263" s="562"/>
      <c r="G263" s="562"/>
      <c r="H263" s="562"/>
      <c r="I263" s="557"/>
      <c r="J263" s="557"/>
      <c r="K263" s="557"/>
      <c r="L263" s="558" t="s">
        <v>1604</v>
      </c>
    </row>
    <row r="264" spans="1:12" x14ac:dyDescent="0.3">
      <c r="A264" s="571" t="s">
        <v>292</v>
      </c>
      <c r="B264" s="568"/>
      <c r="C264" s="562" t="s">
        <v>1155</v>
      </c>
      <c r="D264" s="557" t="s">
        <v>1155</v>
      </c>
      <c r="E264" s="557"/>
      <c r="F264" s="562"/>
      <c r="G264" s="562"/>
      <c r="H264" s="562" t="s">
        <v>1155</v>
      </c>
      <c r="I264" s="557"/>
      <c r="J264" s="557"/>
      <c r="K264" s="557" t="s">
        <v>292</v>
      </c>
      <c r="L264" s="558"/>
    </row>
    <row r="265" spans="1:12" x14ac:dyDescent="0.3">
      <c r="A265" s="571" t="s">
        <v>295</v>
      </c>
      <c r="B265" s="568"/>
      <c r="C265" s="562" t="s">
        <v>1159</v>
      </c>
      <c r="D265" s="557"/>
      <c r="E265" s="557" t="s">
        <v>1371</v>
      </c>
      <c r="F265" s="562"/>
      <c r="G265" s="562" t="s">
        <v>1159</v>
      </c>
      <c r="H265" s="562"/>
      <c r="I265" s="557"/>
      <c r="J265" s="557" t="s">
        <v>295</v>
      </c>
      <c r="K265" s="557"/>
      <c r="L265" s="558"/>
    </row>
    <row r="266" spans="1:12" x14ac:dyDescent="0.3">
      <c r="A266" s="571" t="s">
        <v>297</v>
      </c>
      <c r="B266" s="568"/>
      <c r="C266" s="562"/>
      <c r="D266" s="557" t="s">
        <v>1375</v>
      </c>
      <c r="E266" s="557"/>
      <c r="F266" s="562"/>
      <c r="G266" s="562"/>
      <c r="H266" s="562" t="s">
        <v>1501</v>
      </c>
      <c r="I266" s="557"/>
      <c r="J266" s="557"/>
      <c r="K266" s="557" t="s">
        <v>297</v>
      </c>
      <c r="L266" s="558"/>
    </row>
    <row r="267" spans="1:12" x14ac:dyDescent="0.3">
      <c r="A267" s="571"/>
      <c r="B267" s="568"/>
      <c r="C267" s="562"/>
      <c r="D267" s="557"/>
      <c r="E267" s="557"/>
      <c r="F267" s="562"/>
      <c r="G267" s="562"/>
      <c r="H267" s="562"/>
      <c r="I267" s="557"/>
      <c r="J267" s="557"/>
      <c r="K267" s="557"/>
      <c r="L267" s="558"/>
    </row>
    <row r="268" spans="1:12" x14ac:dyDescent="0.3">
      <c r="A268" s="571" t="s">
        <v>1073</v>
      </c>
      <c r="B268" s="568" t="s">
        <v>1073</v>
      </c>
      <c r="C268" s="562" t="s">
        <v>1073</v>
      </c>
      <c r="D268" s="557" t="s">
        <v>1412</v>
      </c>
      <c r="E268" s="557" t="s">
        <v>1414</v>
      </c>
      <c r="F268" s="562" t="s">
        <v>1411</v>
      </c>
      <c r="G268" s="562" t="s">
        <v>1413</v>
      </c>
      <c r="H268" s="562" t="s">
        <v>1557</v>
      </c>
      <c r="I268" s="557" t="s">
        <v>1411</v>
      </c>
      <c r="J268" s="557" t="s">
        <v>1413</v>
      </c>
      <c r="K268" s="557" t="s">
        <v>1556</v>
      </c>
      <c r="L268" s="558" t="s">
        <v>1556</v>
      </c>
    </row>
    <row r="269" spans="1:12" x14ac:dyDescent="0.3">
      <c r="A269" s="571" t="s">
        <v>139</v>
      </c>
      <c r="B269" s="568"/>
      <c r="C269" s="562" t="s">
        <v>1254</v>
      </c>
      <c r="D269" s="557" t="s">
        <v>1254</v>
      </c>
      <c r="E269" s="557"/>
      <c r="F269" s="562"/>
      <c r="G269" s="562" t="s">
        <v>1560</v>
      </c>
      <c r="H269" s="562"/>
      <c r="I269" s="557"/>
      <c r="J269" s="557" t="s">
        <v>139</v>
      </c>
      <c r="K269" s="557"/>
      <c r="L269" s="558"/>
    </row>
    <row r="270" spans="1:12" x14ac:dyDescent="0.3">
      <c r="A270" s="571" t="s">
        <v>143</v>
      </c>
      <c r="B270" s="568" t="s">
        <v>143</v>
      </c>
      <c r="C270" s="562" t="s">
        <v>143</v>
      </c>
      <c r="D270" s="557" t="s">
        <v>143</v>
      </c>
      <c r="E270" s="557"/>
      <c r="F270" s="562" t="s">
        <v>1559</v>
      </c>
      <c r="G270" s="562"/>
      <c r="H270" s="562"/>
      <c r="I270" s="557" t="s">
        <v>143</v>
      </c>
      <c r="J270" s="557"/>
      <c r="K270" s="557"/>
      <c r="L270" s="558"/>
    </row>
    <row r="271" spans="1:12" x14ac:dyDescent="0.3">
      <c r="A271" s="571" t="s">
        <v>1074</v>
      </c>
      <c r="B271" s="568"/>
      <c r="C271" s="562"/>
      <c r="D271" s="557"/>
      <c r="E271" s="557"/>
      <c r="F271" s="562"/>
      <c r="G271" s="562"/>
      <c r="H271" s="562"/>
      <c r="I271" s="557"/>
      <c r="J271" s="557"/>
      <c r="K271" s="557"/>
      <c r="L271" s="558"/>
    </row>
    <row r="272" spans="1:12" x14ac:dyDescent="0.3">
      <c r="A272" s="571" t="s">
        <v>1075</v>
      </c>
      <c r="B272" s="568"/>
      <c r="C272" s="562"/>
      <c r="D272" s="557"/>
      <c r="E272" s="557"/>
      <c r="F272" s="562"/>
      <c r="G272" s="562"/>
      <c r="H272" s="562"/>
      <c r="I272" s="557"/>
      <c r="J272" s="557"/>
      <c r="K272" s="557"/>
      <c r="L272" s="558"/>
    </row>
    <row r="273" spans="1:12" x14ac:dyDescent="0.3">
      <c r="A273" s="571" t="s">
        <v>1641</v>
      </c>
      <c r="B273" s="568" t="s">
        <v>1249</v>
      </c>
      <c r="C273" s="562" t="s">
        <v>1249</v>
      </c>
      <c r="D273" s="557" t="s">
        <v>1249</v>
      </c>
      <c r="E273" s="557"/>
      <c r="F273" s="562"/>
      <c r="G273" s="562" t="s">
        <v>1561</v>
      </c>
      <c r="H273" s="562"/>
      <c r="I273" s="557"/>
      <c r="J273" s="557" t="s">
        <v>1248</v>
      </c>
      <c r="K273" s="557"/>
      <c r="L273" s="558"/>
    </row>
    <row r="274" spans="1:12" x14ac:dyDescent="0.3">
      <c r="A274" s="571" t="s">
        <v>1642</v>
      </c>
      <c r="B274" s="568" t="s">
        <v>1251</v>
      </c>
      <c r="C274" s="562" t="s">
        <v>1251</v>
      </c>
      <c r="D274" s="557" t="s">
        <v>1251</v>
      </c>
      <c r="E274" s="557"/>
      <c r="F274" s="562"/>
      <c r="G274" s="562" t="s">
        <v>1562</v>
      </c>
      <c r="H274" s="562"/>
      <c r="I274" s="557"/>
      <c r="J274" s="557" t="s">
        <v>1250</v>
      </c>
      <c r="K274" s="557"/>
      <c r="L274" s="558"/>
    </row>
    <row r="275" spans="1:12" x14ac:dyDescent="0.3">
      <c r="A275" s="571"/>
      <c r="B275" s="568"/>
      <c r="C275" s="562"/>
      <c r="D275" s="557"/>
      <c r="E275" s="557"/>
      <c r="F275" s="562"/>
      <c r="G275" s="562"/>
      <c r="H275" s="562"/>
      <c r="I275" s="557"/>
      <c r="J275" s="557"/>
      <c r="K275" s="557"/>
      <c r="L275" s="558"/>
    </row>
    <row r="276" spans="1:12" x14ac:dyDescent="0.3">
      <c r="A276" s="571" t="s">
        <v>299</v>
      </c>
      <c r="B276" s="568"/>
      <c r="C276" s="562" t="s">
        <v>1253</v>
      </c>
      <c r="D276" s="557" t="s">
        <v>1253</v>
      </c>
      <c r="E276" s="557"/>
      <c r="F276" s="562"/>
      <c r="G276" s="562" t="s">
        <v>1563</v>
      </c>
      <c r="H276" s="562"/>
      <c r="I276" s="557"/>
      <c r="J276" s="557" t="s">
        <v>299</v>
      </c>
      <c r="K276" s="557"/>
      <c r="L276" s="558"/>
    </row>
    <row r="277" spans="1:12" x14ac:dyDescent="0.3">
      <c r="A277" s="571" t="s">
        <v>302</v>
      </c>
      <c r="B277" s="568" t="s">
        <v>302</v>
      </c>
      <c r="C277" s="562" t="s">
        <v>302</v>
      </c>
      <c r="D277" s="557" t="s">
        <v>302</v>
      </c>
      <c r="E277" s="557"/>
      <c r="F277" s="562" t="s">
        <v>1558</v>
      </c>
      <c r="G277" s="562"/>
      <c r="H277" s="562"/>
      <c r="I277" s="557" t="s">
        <v>302</v>
      </c>
      <c r="J277" s="557"/>
      <c r="K277" s="557"/>
      <c r="L277" s="558"/>
    </row>
    <row r="278" spans="1:12" x14ac:dyDescent="0.3">
      <c r="A278" s="571"/>
      <c r="B278" s="568"/>
      <c r="C278" s="562"/>
      <c r="D278" s="557"/>
      <c r="E278" s="557"/>
      <c r="F278" s="562"/>
      <c r="G278" s="562"/>
      <c r="H278" s="562"/>
      <c r="I278" s="557"/>
      <c r="J278" s="557"/>
      <c r="K278" s="557"/>
      <c r="L278" s="558"/>
    </row>
    <row r="279" spans="1:12" x14ac:dyDescent="0.3">
      <c r="A279" s="571" t="s">
        <v>1076</v>
      </c>
      <c r="B279" s="568" t="s">
        <v>1076</v>
      </c>
      <c r="C279" s="562" t="s">
        <v>1076</v>
      </c>
      <c r="D279" s="557" t="s">
        <v>1425</v>
      </c>
      <c r="E279" s="557" t="s">
        <v>1427</v>
      </c>
      <c r="F279" s="562" t="s">
        <v>1424</v>
      </c>
      <c r="G279" s="562" t="s">
        <v>1426</v>
      </c>
      <c r="H279" s="562" t="s">
        <v>1571</v>
      </c>
      <c r="I279" s="557" t="s">
        <v>1424</v>
      </c>
      <c r="J279" s="557" t="s">
        <v>1426</v>
      </c>
      <c r="K279" s="557" t="s">
        <v>1570</v>
      </c>
      <c r="L279" s="558" t="s">
        <v>1622</v>
      </c>
    </row>
    <row r="280" spans="1:12" x14ac:dyDescent="0.3">
      <c r="A280" s="571" t="s">
        <v>147</v>
      </c>
      <c r="B280" s="568"/>
      <c r="C280" s="562" t="s">
        <v>1274</v>
      </c>
      <c r="D280" s="557" t="s">
        <v>1274</v>
      </c>
      <c r="E280" s="557"/>
      <c r="F280" s="562"/>
      <c r="G280" s="562" t="s">
        <v>147</v>
      </c>
      <c r="H280" s="562"/>
      <c r="I280" s="557"/>
      <c r="J280" s="557" t="s">
        <v>147</v>
      </c>
      <c r="K280" s="557"/>
      <c r="L280" s="558"/>
    </row>
    <row r="281" spans="1:12" x14ac:dyDescent="0.3">
      <c r="A281" s="571" t="s">
        <v>151</v>
      </c>
      <c r="B281" s="568" t="s">
        <v>1272</v>
      </c>
      <c r="C281" s="562" t="s">
        <v>1272</v>
      </c>
      <c r="D281" s="557" t="s">
        <v>1272</v>
      </c>
      <c r="E281" s="557"/>
      <c r="F281" s="562"/>
      <c r="G281" s="562" t="s">
        <v>151</v>
      </c>
      <c r="H281" s="562"/>
      <c r="I281" s="557"/>
      <c r="J281" s="557" t="s">
        <v>151</v>
      </c>
      <c r="K281" s="557"/>
      <c r="L281" s="558"/>
    </row>
    <row r="282" spans="1:12" x14ac:dyDescent="0.3">
      <c r="A282" s="571" t="s">
        <v>155</v>
      </c>
      <c r="B282" s="568"/>
      <c r="C282" s="562"/>
      <c r="D282" s="557" t="s">
        <v>1428</v>
      </c>
      <c r="E282" s="557"/>
      <c r="F282" s="562"/>
      <c r="G282" s="562" t="s">
        <v>155</v>
      </c>
      <c r="H282" s="562"/>
      <c r="I282" s="557"/>
      <c r="J282" s="557" t="s">
        <v>155</v>
      </c>
      <c r="K282" s="557"/>
      <c r="L282" s="558"/>
    </row>
    <row r="283" spans="1:12" x14ac:dyDescent="0.3">
      <c r="A283" s="571"/>
      <c r="B283" s="568"/>
      <c r="C283" s="562"/>
      <c r="D283" s="557"/>
      <c r="E283" s="557"/>
      <c r="F283" s="562"/>
      <c r="G283" s="562"/>
      <c r="H283" s="562"/>
      <c r="I283" s="557"/>
      <c r="J283" s="557"/>
      <c r="K283" s="557"/>
      <c r="L283" s="558"/>
    </row>
    <row r="284" spans="1:12" x14ac:dyDescent="0.3">
      <c r="A284" s="571" t="s">
        <v>305</v>
      </c>
      <c r="B284" s="568"/>
      <c r="C284" s="562" t="s">
        <v>1273</v>
      </c>
      <c r="D284" s="557" t="s">
        <v>1572</v>
      </c>
      <c r="E284" s="557"/>
      <c r="F284" s="562"/>
      <c r="G284" s="562" t="s">
        <v>305</v>
      </c>
      <c r="H284" s="562"/>
      <c r="I284" s="557"/>
      <c r="J284" s="557" t="s">
        <v>305</v>
      </c>
      <c r="K284" s="557"/>
      <c r="L284" s="558"/>
    </row>
    <row r="285" spans="1:12" x14ac:dyDescent="0.3">
      <c r="A285" s="571"/>
      <c r="B285" s="568"/>
      <c r="C285" s="562"/>
      <c r="D285" s="557"/>
      <c r="E285" s="557"/>
      <c r="F285" s="562"/>
      <c r="G285" s="562"/>
      <c r="H285" s="562"/>
      <c r="I285" s="557"/>
      <c r="J285" s="557"/>
      <c r="K285" s="557"/>
      <c r="L285" s="558"/>
    </row>
    <row r="286" spans="1:12" x14ac:dyDescent="0.3">
      <c r="A286" s="571" t="s">
        <v>1077</v>
      </c>
      <c r="B286" s="568" t="s">
        <v>1077</v>
      </c>
      <c r="C286" s="562" t="s">
        <v>1077</v>
      </c>
      <c r="D286" s="557" t="s">
        <v>1416</v>
      </c>
      <c r="E286" s="557" t="s">
        <v>1418</v>
      </c>
      <c r="F286" s="562" t="s">
        <v>1415</v>
      </c>
      <c r="G286" s="562" t="s">
        <v>1417</v>
      </c>
      <c r="H286" s="562" t="s">
        <v>1565</v>
      </c>
      <c r="I286" s="557" t="s">
        <v>1415</v>
      </c>
      <c r="J286" s="557" t="s">
        <v>1417</v>
      </c>
      <c r="K286" s="557" t="s">
        <v>1564</v>
      </c>
      <c r="L286" s="558" t="s">
        <v>1620</v>
      </c>
    </row>
    <row r="287" spans="1:12" x14ac:dyDescent="0.3">
      <c r="A287" s="571" t="s">
        <v>158</v>
      </c>
      <c r="B287" s="568"/>
      <c r="C287" s="562" t="s">
        <v>1262</v>
      </c>
      <c r="D287" s="557" t="s">
        <v>1262</v>
      </c>
      <c r="E287" s="557"/>
      <c r="F287" s="562"/>
      <c r="G287" s="562" t="s">
        <v>158</v>
      </c>
      <c r="H287" s="562"/>
      <c r="I287" s="557"/>
      <c r="J287" s="557" t="s">
        <v>158</v>
      </c>
      <c r="K287" s="557"/>
      <c r="L287" s="558"/>
    </row>
    <row r="288" spans="1:12" x14ac:dyDescent="0.3">
      <c r="A288" s="571" t="s">
        <v>162</v>
      </c>
      <c r="B288" s="568" t="s">
        <v>162</v>
      </c>
      <c r="C288" s="562" t="s">
        <v>162</v>
      </c>
      <c r="D288" s="557" t="s">
        <v>162</v>
      </c>
      <c r="E288" s="557"/>
      <c r="F288" s="562"/>
      <c r="G288" s="562" t="s">
        <v>162</v>
      </c>
      <c r="H288" s="562"/>
      <c r="I288" s="557"/>
      <c r="J288" s="557" t="s">
        <v>162</v>
      </c>
      <c r="K288" s="557"/>
      <c r="L288" s="558"/>
    </row>
    <row r="289" spans="1:12" x14ac:dyDescent="0.3">
      <c r="A289" s="571" t="s">
        <v>166</v>
      </c>
      <c r="B289" s="568" t="s">
        <v>166</v>
      </c>
      <c r="C289" s="562" t="s">
        <v>166</v>
      </c>
      <c r="D289" s="557" t="s">
        <v>166</v>
      </c>
      <c r="E289" s="557"/>
      <c r="F289" s="562"/>
      <c r="G289" s="562" t="s">
        <v>166</v>
      </c>
      <c r="H289" s="562"/>
      <c r="I289" s="557"/>
      <c r="J289" s="557" t="s">
        <v>166</v>
      </c>
      <c r="K289" s="557"/>
      <c r="L289" s="558"/>
    </row>
    <row r="290" spans="1:12" x14ac:dyDescent="0.3">
      <c r="A290" s="571" t="s">
        <v>1639</v>
      </c>
      <c r="B290" s="568" t="s">
        <v>1256</v>
      </c>
      <c r="C290" s="562" t="s">
        <v>1256</v>
      </c>
      <c r="D290" s="557" t="s">
        <v>1256</v>
      </c>
      <c r="E290" s="557"/>
      <c r="F290" s="562"/>
      <c r="G290" s="562" t="s">
        <v>1255</v>
      </c>
      <c r="H290" s="562"/>
      <c r="I290" s="557"/>
      <c r="J290" s="557" t="s">
        <v>1255</v>
      </c>
      <c r="K290" s="557"/>
      <c r="L290" s="558"/>
    </row>
    <row r="291" spans="1:12" x14ac:dyDescent="0.3">
      <c r="A291" s="571" t="s">
        <v>1640</v>
      </c>
      <c r="B291" s="568" t="s">
        <v>1258</v>
      </c>
      <c r="C291" s="562" t="s">
        <v>1258</v>
      </c>
      <c r="D291" s="557" t="s">
        <v>1258</v>
      </c>
      <c r="E291" s="557"/>
      <c r="F291" s="562"/>
      <c r="G291" s="562" t="s">
        <v>1257</v>
      </c>
      <c r="H291" s="562"/>
      <c r="I291" s="557"/>
      <c r="J291" s="557" t="s">
        <v>1257</v>
      </c>
      <c r="K291" s="557"/>
      <c r="L291" s="558"/>
    </row>
    <row r="292" spans="1:12" x14ac:dyDescent="0.3">
      <c r="A292" s="571"/>
      <c r="B292" s="568"/>
      <c r="C292" s="562"/>
      <c r="D292" s="557"/>
      <c r="E292" s="557"/>
      <c r="F292" s="562"/>
      <c r="G292" s="562"/>
      <c r="H292" s="562"/>
      <c r="I292" s="557"/>
      <c r="J292" s="557"/>
      <c r="K292" s="557"/>
      <c r="L292" s="558"/>
    </row>
    <row r="293" spans="1:12" x14ac:dyDescent="0.3">
      <c r="A293" s="571" t="s">
        <v>1078</v>
      </c>
      <c r="B293" s="568"/>
      <c r="C293" s="562"/>
      <c r="D293" s="557"/>
      <c r="E293" s="557"/>
      <c r="F293" s="562"/>
      <c r="G293" s="562" t="s">
        <v>1566</v>
      </c>
      <c r="H293" s="562"/>
      <c r="I293" s="557"/>
      <c r="J293" s="557" t="s">
        <v>1078</v>
      </c>
      <c r="K293" s="557"/>
      <c r="L293" s="558"/>
    </row>
    <row r="294" spans="1:12" x14ac:dyDescent="0.3">
      <c r="A294" s="571" t="s">
        <v>1638</v>
      </c>
      <c r="B294" s="568" t="s">
        <v>1259</v>
      </c>
      <c r="C294" s="562" t="s">
        <v>1259</v>
      </c>
      <c r="D294" s="557" t="s">
        <v>1259</v>
      </c>
      <c r="E294" s="557"/>
      <c r="F294" s="562"/>
      <c r="G294" s="562" t="s">
        <v>309</v>
      </c>
      <c r="H294" s="562"/>
      <c r="I294" s="557"/>
      <c r="J294" s="557" t="s">
        <v>309</v>
      </c>
      <c r="K294" s="557"/>
      <c r="L294" s="558"/>
    </row>
    <row r="295" spans="1:12" x14ac:dyDescent="0.3">
      <c r="A295" s="571" t="s">
        <v>1643</v>
      </c>
      <c r="B295" s="568"/>
      <c r="C295" s="562" t="s">
        <v>1261</v>
      </c>
      <c r="D295" s="557" t="s">
        <v>1261</v>
      </c>
      <c r="E295" s="557"/>
      <c r="F295" s="562"/>
      <c r="G295" s="562" t="s">
        <v>1260</v>
      </c>
      <c r="H295" s="562"/>
      <c r="I295" s="557"/>
      <c r="J295" s="557" t="s">
        <v>1260</v>
      </c>
      <c r="K295" s="557"/>
      <c r="L295" s="558"/>
    </row>
    <row r="296" spans="1:12" x14ac:dyDescent="0.3">
      <c r="A296" s="571"/>
      <c r="B296" s="568"/>
      <c r="C296" s="562"/>
      <c r="D296" s="557"/>
      <c r="E296" s="557"/>
      <c r="F296" s="562"/>
      <c r="G296" s="562"/>
      <c r="H296" s="562"/>
      <c r="I296" s="557"/>
      <c r="J296" s="557"/>
      <c r="K296" s="557"/>
      <c r="L296" s="558"/>
    </row>
    <row r="297" spans="1:12" x14ac:dyDescent="0.3">
      <c r="A297" s="571" t="s">
        <v>1079</v>
      </c>
      <c r="B297" s="568" t="s">
        <v>1079</v>
      </c>
      <c r="C297" s="562" t="s">
        <v>1079</v>
      </c>
      <c r="D297" s="557" t="s">
        <v>1400</v>
      </c>
      <c r="E297" s="557" t="s">
        <v>1402</v>
      </c>
      <c r="F297" s="562" t="s">
        <v>1399</v>
      </c>
      <c r="G297" s="562" t="s">
        <v>1401</v>
      </c>
      <c r="H297" s="562" t="s">
        <v>1536</v>
      </c>
      <c r="I297" s="557" t="s">
        <v>1399</v>
      </c>
      <c r="J297" s="557" t="s">
        <v>1401</v>
      </c>
      <c r="K297" s="557" t="s">
        <v>1535</v>
      </c>
      <c r="L297" s="558" t="s">
        <v>1614</v>
      </c>
    </row>
    <row r="298" spans="1:12" x14ac:dyDescent="0.3">
      <c r="A298" s="571" t="s">
        <v>170</v>
      </c>
      <c r="B298" s="568"/>
      <c r="C298" s="562" t="s">
        <v>1217</v>
      </c>
      <c r="D298" s="557" t="s">
        <v>1217</v>
      </c>
      <c r="E298" s="557"/>
      <c r="F298" s="562"/>
      <c r="G298" s="562" t="s">
        <v>170</v>
      </c>
      <c r="H298" s="562"/>
      <c r="I298" s="557"/>
      <c r="J298" s="557" t="s">
        <v>170</v>
      </c>
      <c r="K298" s="557"/>
      <c r="L298" s="558"/>
    </row>
    <row r="299" spans="1:12" x14ac:dyDescent="0.3">
      <c r="A299" s="571" t="s">
        <v>175</v>
      </c>
      <c r="B299" s="568"/>
      <c r="C299" s="562" t="s">
        <v>1216</v>
      </c>
      <c r="D299" s="557" t="s">
        <v>1216</v>
      </c>
      <c r="E299" s="557"/>
      <c r="F299" s="562"/>
      <c r="G299" s="562" t="s">
        <v>175</v>
      </c>
      <c r="H299" s="562"/>
      <c r="I299" s="557"/>
      <c r="J299" s="557" t="s">
        <v>175</v>
      </c>
      <c r="K299" s="557"/>
      <c r="L299" s="558"/>
    </row>
    <row r="300" spans="1:12" x14ac:dyDescent="0.3">
      <c r="A300" s="571" t="s">
        <v>179</v>
      </c>
      <c r="B300" s="568" t="s">
        <v>1199</v>
      </c>
      <c r="C300" s="562" t="s">
        <v>1199</v>
      </c>
      <c r="D300" s="557" t="s">
        <v>1199</v>
      </c>
      <c r="E300" s="557"/>
      <c r="F300" s="562"/>
      <c r="G300" s="562" t="s">
        <v>179</v>
      </c>
      <c r="H300" s="562"/>
      <c r="I300" s="557"/>
      <c r="J300" s="557" t="s">
        <v>179</v>
      </c>
      <c r="K300" s="557"/>
      <c r="L300" s="558"/>
    </row>
    <row r="301" spans="1:12" x14ac:dyDescent="0.3">
      <c r="A301" s="571" t="s">
        <v>183</v>
      </c>
      <c r="B301" s="568"/>
      <c r="C301" s="562"/>
      <c r="D301" s="557"/>
      <c r="E301" s="557"/>
      <c r="F301" s="562"/>
      <c r="G301" s="562"/>
      <c r="H301" s="562"/>
      <c r="I301" s="557"/>
      <c r="J301" s="557"/>
      <c r="K301" s="557"/>
      <c r="L301" s="558"/>
    </row>
    <row r="302" spans="1:12" x14ac:dyDescent="0.3">
      <c r="A302" s="571" t="s">
        <v>186</v>
      </c>
      <c r="B302" s="568" t="s">
        <v>1207</v>
      </c>
      <c r="C302" s="562" t="s">
        <v>1207</v>
      </c>
      <c r="D302" s="557" t="s">
        <v>1207</v>
      </c>
      <c r="E302" s="557"/>
      <c r="F302" s="562"/>
      <c r="G302" s="562" t="s">
        <v>186</v>
      </c>
      <c r="H302" s="562"/>
      <c r="I302" s="557"/>
      <c r="J302" s="557" t="s">
        <v>186</v>
      </c>
      <c r="K302" s="557"/>
      <c r="L302" s="558"/>
    </row>
    <row r="303" spans="1:12" x14ac:dyDescent="0.3">
      <c r="A303" s="571" t="s">
        <v>191</v>
      </c>
      <c r="B303" s="568" t="s">
        <v>1202</v>
      </c>
      <c r="C303" s="562" t="s">
        <v>1202</v>
      </c>
      <c r="D303" s="557" t="s">
        <v>1202</v>
      </c>
      <c r="E303" s="557"/>
      <c r="F303" s="562"/>
      <c r="G303" s="562" t="s">
        <v>191</v>
      </c>
      <c r="H303" s="562"/>
      <c r="I303" s="557"/>
      <c r="J303" s="557" t="s">
        <v>191</v>
      </c>
      <c r="K303" s="557"/>
      <c r="L303" s="558"/>
    </row>
    <row r="304" spans="1:12" x14ac:dyDescent="0.3">
      <c r="A304" s="571" t="s">
        <v>707</v>
      </c>
      <c r="B304" s="568"/>
      <c r="C304" s="562"/>
      <c r="D304" s="557"/>
      <c r="E304" s="557"/>
      <c r="F304" s="562"/>
      <c r="G304" s="562" t="s">
        <v>1537</v>
      </c>
      <c r="H304" s="562"/>
      <c r="I304" s="557"/>
      <c r="J304" s="557" t="s">
        <v>707</v>
      </c>
      <c r="K304" s="557"/>
      <c r="L304" s="558"/>
    </row>
    <row r="305" spans="1:12" x14ac:dyDescent="0.3">
      <c r="A305" s="571"/>
      <c r="B305" s="568" t="s">
        <v>1204</v>
      </c>
      <c r="C305" s="562" t="s">
        <v>1204</v>
      </c>
      <c r="D305" s="557" t="s">
        <v>1204</v>
      </c>
      <c r="E305" s="557"/>
      <c r="F305" s="562"/>
      <c r="G305" s="562" t="s">
        <v>1203</v>
      </c>
      <c r="H305" s="562"/>
      <c r="I305" s="557"/>
      <c r="J305" s="557" t="s">
        <v>1203</v>
      </c>
      <c r="K305" s="557"/>
      <c r="L305" s="558"/>
    </row>
    <row r="306" spans="1:12" x14ac:dyDescent="0.3">
      <c r="A306" s="571"/>
      <c r="B306" s="568" t="s">
        <v>1201</v>
      </c>
      <c r="C306" s="562" t="s">
        <v>1201</v>
      </c>
      <c r="D306" s="557" t="s">
        <v>1201</v>
      </c>
      <c r="E306" s="557"/>
      <c r="F306" s="562"/>
      <c r="G306" s="562" t="s">
        <v>1200</v>
      </c>
      <c r="H306" s="562"/>
      <c r="I306" s="557"/>
      <c r="J306" s="557" t="s">
        <v>1200</v>
      </c>
      <c r="K306" s="557"/>
      <c r="L306" s="558"/>
    </row>
    <row r="307" spans="1:12" x14ac:dyDescent="0.3">
      <c r="A307" s="571"/>
      <c r="B307" s="568" t="s">
        <v>1206</v>
      </c>
      <c r="C307" s="562" t="s">
        <v>1206</v>
      </c>
      <c r="D307" s="557" t="s">
        <v>1206</v>
      </c>
      <c r="E307" s="557"/>
      <c r="F307" s="562"/>
      <c r="G307" s="562" t="s">
        <v>1205</v>
      </c>
      <c r="H307" s="562"/>
      <c r="I307" s="557"/>
      <c r="J307" s="557" t="s">
        <v>1205</v>
      </c>
      <c r="K307" s="557"/>
      <c r="L307" s="558"/>
    </row>
    <row r="308" spans="1:12" x14ac:dyDescent="0.3">
      <c r="A308" s="571"/>
      <c r="B308" s="568" t="s">
        <v>1211</v>
      </c>
      <c r="C308" s="562" t="s">
        <v>1211</v>
      </c>
      <c r="D308" s="557" t="s">
        <v>1211</v>
      </c>
      <c r="E308" s="557"/>
      <c r="F308" s="562"/>
      <c r="G308" s="562" t="s">
        <v>1210</v>
      </c>
      <c r="H308" s="562"/>
      <c r="I308" s="557"/>
      <c r="J308" s="557" t="s">
        <v>1210</v>
      </c>
      <c r="K308" s="557"/>
      <c r="L308" s="558"/>
    </row>
    <row r="309" spans="1:12" x14ac:dyDescent="0.3">
      <c r="A309" s="571"/>
      <c r="B309" s="568" t="s">
        <v>1209</v>
      </c>
      <c r="C309" s="562" t="s">
        <v>1209</v>
      </c>
      <c r="D309" s="557" t="s">
        <v>1209</v>
      </c>
      <c r="E309" s="557"/>
      <c r="F309" s="562"/>
      <c r="G309" s="562" t="s">
        <v>1208</v>
      </c>
      <c r="H309" s="562"/>
      <c r="I309" s="557"/>
      <c r="J309" s="557" t="s">
        <v>1208</v>
      </c>
      <c r="K309" s="557"/>
      <c r="L309" s="558"/>
    </row>
    <row r="310" spans="1:12" x14ac:dyDescent="0.3">
      <c r="A310" s="571"/>
      <c r="B310" s="568" t="s">
        <v>1212</v>
      </c>
      <c r="C310" s="562" t="s">
        <v>1212</v>
      </c>
      <c r="D310" s="557" t="s">
        <v>1212</v>
      </c>
      <c r="E310" s="557"/>
      <c r="F310" s="562"/>
      <c r="G310" s="562" t="s">
        <v>183</v>
      </c>
      <c r="H310" s="562"/>
      <c r="I310" s="557"/>
      <c r="J310" s="557" t="s">
        <v>183</v>
      </c>
      <c r="K310" s="557"/>
      <c r="L310" s="558"/>
    </row>
    <row r="311" spans="1:12" x14ac:dyDescent="0.3">
      <c r="A311" s="571"/>
      <c r="B311" s="568"/>
      <c r="C311" s="562"/>
      <c r="D311" s="557"/>
      <c r="E311" s="557"/>
      <c r="F311" s="562"/>
      <c r="G311" s="562"/>
      <c r="H311" s="562"/>
      <c r="I311" s="557"/>
      <c r="J311" s="557" t="s">
        <v>1616</v>
      </c>
      <c r="K311" s="557"/>
      <c r="L311" s="558"/>
    </row>
    <row r="312" spans="1:12" x14ac:dyDescent="0.3">
      <c r="A312" s="571"/>
      <c r="B312" s="568"/>
      <c r="C312" s="562"/>
      <c r="D312" s="557"/>
      <c r="E312" s="557"/>
      <c r="F312" s="562"/>
      <c r="G312" s="562"/>
      <c r="H312" s="562"/>
      <c r="I312" s="557"/>
      <c r="J312" s="557"/>
      <c r="K312" s="557"/>
      <c r="L312" s="558"/>
    </row>
    <row r="313" spans="1:12" x14ac:dyDescent="0.3">
      <c r="A313" s="571" t="s">
        <v>312</v>
      </c>
      <c r="B313" s="568"/>
      <c r="C313" s="562"/>
      <c r="D313" s="557" t="s">
        <v>1538</v>
      </c>
      <c r="E313" s="557"/>
      <c r="F313" s="562"/>
      <c r="G313" s="562" t="s">
        <v>312</v>
      </c>
      <c r="H313" s="562"/>
      <c r="I313" s="557"/>
      <c r="J313" s="557" t="s">
        <v>312</v>
      </c>
      <c r="K313" s="557"/>
      <c r="L313" s="558"/>
    </row>
    <row r="314" spans="1:12" x14ac:dyDescent="0.3">
      <c r="A314" s="571" t="s">
        <v>314</v>
      </c>
      <c r="B314" s="568"/>
      <c r="C314" s="562" t="s">
        <v>1213</v>
      </c>
      <c r="D314" s="557" t="s">
        <v>1213</v>
      </c>
      <c r="E314" s="557"/>
      <c r="F314" s="562"/>
      <c r="G314" s="562" t="s">
        <v>314</v>
      </c>
      <c r="H314" s="562"/>
      <c r="I314" s="557"/>
      <c r="J314" s="557" t="s">
        <v>314</v>
      </c>
      <c r="K314" s="557"/>
      <c r="L314" s="558"/>
    </row>
    <row r="315" spans="1:12" x14ac:dyDescent="0.3">
      <c r="A315" s="571" t="s">
        <v>1615</v>
      </c>
      <c r="B315" s="568"/>
      <c r="C315" s="562" t="s">
        <v>1215</v>
      </c>
      <c r="D315" s="557" t="s">
        <v>1215</v>
      </c>
      <c r="E315" s="557"/>
      <c r="F315" s="562"/>
      <c r="G315" s="562" t="s">
        <v>1214</v>
      </c>
      <c r="H315" s="562"/>
      <c r="I315" s="557"/>
      <c r="J315" s="557" t="s">
        <v>1214</v>
      </c>
      <c r="K315" s="557"/>
      <c r="L315" s="558"/>
    </row>
    <row r="316" spans="1:12" x14ac:dyDescent="0.3">
      <c r="A316" s="571"/>
      <c r="B316" s="568"/>
      <c r="C316" s="562"/>
      <c r="D316" s="557"/>
      <c r="E316" s="557"/>
      <c r="F316" s="562"/>
      <c r="G316" s="562"/>
      <c r="H316" s="562"/>
      <c r="I316" s="557"/>
      <c r="J316" s="557"/>
      <c r="K316" s="557"/>
      <c r="L316" s="558"/>
    </row>
    <row r="317" spans="1:12" x14ac:dyDescent="0.3">
      <c r="A317" s="571" t="s">
        <v>1080</v>
      </c>
      <c r="B317" s="568" t="s">
        <v>1080</v>
      </c>
      <c r="C317" s="562" t="s">
        <v>1080</v>
      </c>
      <c r="D317" s="557" t="s">
        <v>1404</v>
      </c>
      <c r="E317" s="557" t="s">
        <v>1406</v>
      </c>
      <c r="F317" s="562" t="s">
        <v>1403</v>
      </c>
      <c r="G317" s="562" t="s">
        <v>1405</v>
      </c>
      <c r="H317" s="562" t="s">
        <v>1540</v>
      </c>
      <c r="I317" s="557" t="s">
        <v>1403</v>
      </c>
      <c r="J317" s="557" t="s">
        <v>1405</v>
      </c>
      <c r="K317" s="557" t="s">
        <v>1539</v>
      </c>
      <c r="L317" s="558" t="s">
        <v>1617</v>
      </c>
    </row>
    <row r="318" spans="1:12" x14ac:dyDescent="0.3">
      <c r="A318" s="571" t="s">
        <v>197</v>
      </c>
      <c r="B318" s="568"/>
      <c r="C318" s="562" t="s">
        <v>1231</v>
      </c>
      <c r="D318" s="557" t="s">
        <v>1231</v>
      </c>
      <c r="E318" s="557"/>
      <c r="F318" s="562"/>
      <c r="G318" s="562" t="s">
        <v>1542</v>
      </c>
      <c r="H318" s="562"/>
      <c r="I318" s="557"/>
      <c r="J318" s="557" t="s">
        <v>197</v>
      </c>
      <c r="K318" s="557"/>
      <c r="L318" s="558"/>
    </row>
    <row r="319" spans="1:12" x14ac:dyDescent="0.3">
      <c r="A319" s="571" t="s">
        <v>201</v>
      </c>
      <c r="B319" s="568"/>
      <c r="C319" s="562" t="s">
        <v>1230</v>
      </c>
      <c r="D319" s="557" t="s">
        <v>1230</v>
      </c>
      <c r="E319" s="557"/>
      <c r="F319" s="562"/>
      <c r="G319" s="562" t="s">
        <v>1543</v>
      </c>
      <c r="H319" s="562"/>
      <c r="I319" s="557"/>
      <c r="J319" s="557" t="s">
        <v>201</v>
      </c>
      <c r="K319" s="557"/>
      <c r="L319" s="558"/>
    </row>
    <row r="320" spans="1:12" x14ac:dyDescent="0.3">
      <c r="A320" s="571" t="s">
        <v>1081</v>
      </c>
      <c r="B320" s="568" t="s">
        <v>1218</v>
      </c>
      <c r="C320" s="562" t="s">
        <v>1218</v>
      </c>
      <c r="D320" s="557" t="s">
        <v>1218</v>
      </c>
      <c r="E320" s="557"/>
      <c r="F320" s="562"/>
      <c r="G320" s="562" t="s">
        <v>1544</v>
      </c>
      <c r="H320" s="562"/>
      <c r="I320" s="557"/>
      <c r="J320" s="557" t="s">
        <v>1081</v>
      </c>
      <c r="K320" s="557"/>
      <c r="L320" s="558"/>
    </row>
    <row r="321" spans="1:12" x14ac:dyDescent="0.3">
      <c r="A321" s="571" t="s">
        <v>1082</v>
      </c>
      <c r="B321" s="568" t="s">
        <v>1224</v>
      </c>
      <c r="C321" s="562" t="s">
        <v>1224</v>
      </c>
      <c r="D321" s="557" t="s">
        <v>1224</v>
      </c>
      <c r="E321" s="557"/>
      <c r="F321" s="562" t="s">
        <v>1541</v>
      </c>
      <c r="G321" s="562"/>
      <c r="H321" s="562"/>
      <c r="I321" s="557" t="s">
        <v>1082</v>
      </c>
      <c r="J321" s="557"/>
      <c r="K321" s="557"/>
      <c r="L321" s="558"/>
    </row>
    <row r="322" spans="1:12" x14ac:dyDescent="0.3">
      <c r="A322" s="571" t="s">
        <v>1083</v>
      </c>
      <c r="B322" s="568" t="s">
        <v>1226</v>
      </c>
      <c r="C322" s="562" t="s">
        <v>1226</v>
      </c>
      <c r="D322" s="557" t="s">
        <v>1226</v>
      </c>
      <c r="E322" s="557"/>
      <c r="F322" s="562"/>
      <c r="G322" s="562" t="s">
        <v>1545</v>
      </c>
      <c r="H322" s="562"/>
      <c r="I322" s="557"/>
      <c r="J322" s="557" t="s">
        <v>1083</v>
      </c>
      <c r="K322" s="557"/>
      <c r="L322" s="558"/>
    </row>
    <row r="323" spans="1:12" x14ac:dyDescent="0.3">
      <c r="A323" s="571" t="s">
        <v>1084</v>
      </c>
      <c r="B323" s="568"/>
      <c r="C323" s="562"/>
      <c r="D323" s="557"/>
      <c r="E323" s="557"/>
      <c r="F323" s="562"/>
      <c r="G323" s="562"/>
      <c r="H323" s="562"/>
      <c r="I323" s="557"/>
      <c r="J323" s="557"/>
      <c r="K323" s="557"/>
      <c r="L323" s="558"/>
    </row>
    <row r="324" spans="1:12" x14ac:dyDescent="0.3">
      <c r="A324" s="571" t="s">
        <v>1085</v>
      </c>
      <c r="B324" s="568" t="s">
        <v>1225</v>
      </c>
      <c r="C324" s="562" t="s">
        <v>1225</v>
      </c>
      <c r="D324" s="557" t="s">
        <v>1225</v>
      </c>
      <c r="E324" s="557"/>
      <c r="F324" s="562"/>
      <c r="G324" s="562" t="s">
        <v>1085</v>
      </c>
      <c r="H324" s="562"/>
      <c r="I324" s="557"/>
      <c r="J324" s="557" t="s">
        <v>1085</v>
      </c>
      <c r="K324" s="557"/>
      <c r="L324" s="558"/>
    </row>
    <row r="325" spans="1:12" x14ac:dyDescent="0.3">
      <c r="A325" s="571"/>
      <c r="B325" s="568" t="s">
        <v>1220</v>
      </c>
      <c r="C325" s="562" t="s">
        <v>1220</v>
      </c>
      <c r="D325" s="557" t="s">
        <v>1220</v>
      </c>
      <c r="E325" s="557"/>
      <c r="F325" s="562"/>
      <c r="G325" s="562" t="s">
        <v>1219</v>
      </c>
      <c r="H325" s="562"/>
      <c r="I325" s="557"/>
      <c r="J325" s="557" t="s">
        <v>1219</v>
      </c>
      <c r="K325" s="557"/>
      <c r="L325" s="558"/>
    </row>
    <row r="326" spans="1:12" x14ac:dyDescent="0.3">
      <c r="A326" s="571"/>
      <c r="B326" s="568" t="s">
        <v>1227</v>
      </c>
      <c r="C326" s="562" t="s">
        <v>1227</v>
      </c>
      <c r="D326" s="557"/>
      <c r="E326" s="557"/>
      <c r="F326" s="562"/>
      <c r="G326" s="562"/>
      <c r="H326" s="562"/>
      <c r="I326" s="557"/>
      <c r="J326" s="557" t="s">
        <v>1618</v>
      </c>
      <c r="K326" s="557"/>
      <c r="L326" s="558"/>
    </row>
    <row r="327" spans="1:12" x14ac:dyDescent="0.3">
      <c r="A327" s="571"/>
      <c r="B327" s="568"/>
      <c r="C327" s="562"/>
      <c r="D327" s="557"/>
      <c r="E327" s="557"/>
      <c r="F327" s="562"/>
      <c r="G327" s="562"/>
      <c r="H327" s="562"/>
      <c r="I327" s="557"/>
      <c r="J327" s="557"/>
      <c r="K327" s="557"/>
      <c r="L327" s="558"/>
    </row>
    <row r="328" spans="1:12" x14ac:dyDescent="0.3">
      <c r="A328" s="571" t="s">
        <v>317</v>
      </c>
      <c r="B328" s="568"/>
      <c r="C328" s="562" t="s">
        <v>1229</v>
      </c>
      <c r="D328" s="557" t="s">
        <v>1229</v>
      </c>
      <c r="E328" s="557"/>
      <c r="F328" s="562"/>
      <c r="G328" s="562" t="s">
        <v>317</v>
      </c>
      <c r="H328" s="562"/>
      <c r="I328" s="557"/>
      <c r="J328" s="557" t="s">
        <v>317</v>
      </c>
      <c r="K328" s="557"/>
      <c r="L328" s="558"/>
    </row>
    <row r="329" spans="1:12" x14ac:dyDescent="0.3">
      <c r="A329" s="571" t="s">
        <v>322</v>
      </c>
      <c r="B329" s="568"/>
      <c r="C329" s="562"/>
      <c r="D329" s="557"/>
      <c r="E329" s="557"/>
      <c r="F329" s="562"/>
      <c r="G329" s="562" t="s">
        <v>1546</v>
      </c>
      <c r="H329" s="562"/>
      <c r="I329" s="557"/>
      <c r="J329" s="557" t="s">
        <v>322</v>
      </c>
      <c r="K329" s="557"/>
      <c r="L329" s="558"/>
    </row>
    <row r="330" spans="1:12" x14ac:dyDescent="0.3">
      <c r="A330" s="571" t="s">
        <v>1222</v>
      </c>
      <c r="B330" s="568"/>
      <c r="C330" s="562"/>
      <c r="D330" s="557"/>
      <c r="E330" s="557"/>
      <c r="F330" s="562"/>
      <c r="G330" s="562" t="s">
        <v>1547</v>
      </c>
      <c r="H330" s="562"/>
      <c r="I330" s="557"/>
      <c r="J330" s="557" t="s">
        <v>319</v>
      </c>
      <c r="K330" s="557"/>
      <c r="L330" s="558"/>
    </row>
    <row r="331" spans="1:12" x14ac:dyDescent="0.3">
      <c r="A331" s="571"/>
      <c r="B331" s="568" t="s">
        <v>1221</v>
      </c>
      <c r="C331" s="562" t="s">
        <v>1221</v>
      </c>
      <c r="D331" s="557" t="s">
        <v>1221</v>
      </c>
      <c r="E331" s="557"/>
      <c r="F331" s="562"/>
      <c r="G331" s="562"/>
      <c r="H331" s="562"/>
      <c r="I331" s="557"/>
      <c r="J331" s="557"/>
      <c r="K331" s="557"/>
      <c r="L331" s="558"/>
    </row>
    <row r="332" spans="1:12" x14ac:dyDescent="0.3">
      <c r="A332" s="571"/>
      <c r="B332" s="568" t="s">
        <v>1223</v>
      </c>
      <c r="C332" s="562" t="s">
        <v>1223</v>
      </c>
      <c r="D332" s="557" t="s">
        <v>1223</v>
      </c>
      <c r="E332" s="557"/>
      <c r="F332" s="562"/>
      <c r="G332" s="562"/>
      <c r="H332" s="562"/>
      <c r="I332" s="557"/>
      <c r="J332" s="557"/>
      <c r="K332" s="557"/>
      <c r="L332" s="558"/>
    </row>
    <row r="333" spans="1:12" x14ac:dyDescent="0.3">
      <c r="A333" s="571"/>
      <c r="B333" s="568"/>
      <c r="C333" s="562" t="s">
        <v>1228</v>
      </c>
      <c r="D333" s="557" t="s">
        <v>1228</v>
      </c>
      <c r="E333" s="557"/>
      <c r="F333" s="562"/>
      <c r="G333" s="562"/>
      <c r="H333" s="562"/>
      <c r="I333" s="557"/>
      <c r="J333" s="557"/>
      <c r="K333" s="557"/>
      <c r="L333" s="558"/>
    </row>
    <row r="334" spans="1:12" x14ac:dyDescent="0.3">
      <c r="A334" s="571"/>
      <c r="B334" s="568"/>
      <c r="C334" s="562"/>
      <c r="D334" s="557"/>
      <c r="E334" s="557"/>
      <c r="F334" s="562"/>
      <c r="G334" s="562"/>
      <c r="H334" s="562"/>
      <c r="I334" s="557"/>
      <c r="J334" s="557"/>
      <c r="K334" s="557"/>
      <c r="L334" s="558"/>
    </row>
    <row r="335" spans="1:12" x14ac:dyDescent="0.3">
      <c r="A335" s="571" t="s">
        <v>1086</v>
      </c>
      <c r="B335" s="568" t="s">
        <v>1086</v>
      </c>
      <c r="C335" s="562" t="s">
        <v>1086</v>
      </c>
      <c r="D335" s="557" t="s">
        <v>1420</v>
      </c>
      <c r="E335" s="557" t="s">
        <v>1422</v>
      </c>
      <c r="F335" s="562" t="s">
        <v>1419</v>
      </c>
      <c r="G335" s="562" t="s">
        <v>1421</v>
      </c>
      <c r="H335" s="562" t="s">
        <v>1568</v>
      </c>
      <c r="I335" s="557" t="s">
        <v>1419</v>
      </c>
      <c r="J335" s="557" t="s">
        <v>1421</v>
      </c>
      <c r="K335" s="557" t="s">
        <v>1567</v>
      </c>
      <c r="L335" s="558" t="s">
        <v>1621</v>
      </c>
    </row>
    <row r="336" spans="1:12" x14ac:dyDescent="0.3">
      <c r="A336" s="571" t="s">
        <v>218</v>
      </c>
      <c r="B336" s="568"/>
      <c r="C336" s="562" t="s">
        <v>1271</v>
      </c>
      <c r="D336" s="557" t="s">
        <v>1271</v>
      </c>
      <c r="E336" s="557"/>
      <c r="F336" s="562"/>
      <c r="G336" s="562" t="s">
        <v>218</v>
      </c>
      <c r="H336" s="562"/>
      <c r="I336" s="557"/>
      <c r="J336" s="557" t="s">
        <v>218</v>
      </c>
      <c r="K336" s="557"/>
      <c r="L336" s="558"/>
    </row>
    <row r="337" spans="1:12" x14ac:dyDescent="0.3">
      <c r="A337" s="571" t="s">
        <v>222</v>
      </c>
      <c r="B337" s="568"/>
      <c r="C337" s="562" t="s">
        <v>1269</v>
      </c>
      <c r="D337" s="557" t="s">
        <v>1269</v>
      </c>
      <c r="E337" s="557"/>
      <c r="F337" s="562"/>
      <c r="G337" s="562" t="s">
        <v>222</v>
      </c>
      <c r="H337" s="562"/>
      <c r="I337" s="557"/>
      <c r="J337" s="557" t="s">
        <v>222</v>
      </c>
      <c r="K337" s="557"/>
      <c r="L337" s="558"/>
    </row>
    <row r="338" spans="1:12" x14ac:dyDescent="0.3">
      <c r="A338" s="571" t="s">
        <v>226</v>
      </c>
      <c r="B338" s="568" t="s">
        <v>226</v>
      </c>
      <c r="C338" s="562" t="s">
        <v>226</v>
      </c>
      <c r="D338" s="557" t="s">
        <v>226</v>
      </c>
      <c r="E338" s="557"/>
      <c r="F338" s="562" t="s">
        <v>1569</v>
      </c>
      <c r="G338" s="562"/>
      <c r="H338" s="562"/>
      <c r="I338" s="557" t="s">
        <v>226</v>
      </c>
      <c r="J338" s="557"/>
      <c r="K338" s="557"/>
      <c r="L338" s="558"/>
    </row>
    <row r="339" spans="1:12" x14ac:dyDescent="0.3">
      <c r="A339" s="571" t="s">
        <v>232</v>
      </c>
      <c r="B339" s="568"/>
      <c r="C339" s="562"/>
      <c r="D339" s="557" t="s">
        <v>1423</v>
      </c>
      <c r="E339" s="557"/>
      <c r="F339" s="562"/>
      <c r="G339" s="562" t="s">
        <v>232</v>
      </c>
      <c r="H339" s="562"/>
      <c r="I339" s="557"/>
      <c r="J339" s="557" t="s">
        <v>232</v>
      </c>
      <c r="K339" s="557"/>
      <c r="L339" s="558"/>
    </row>
    <row r="340" spans="1:12" x14ac:dyDescent="0.3">
      <c r="A340" s="571" t="s">
        <v>235</v>
      </c>
      <c r="B340" s="568" t="s">
        <v>235</v>
      </c>
      <c r="C340" s="562" t="s">
        <v>235</v>
      </c>
      <c r="D340" s="557" t="s">
        <v>235</v>
      </c>
      <c r="E340" s="557"/>
      <c r="F340" s="562"/>
      <c r="G340" s="562" t="s">
        <v>235</v>
      </c>
      <c r="H340" s="562"/>
      <c r="I340" s="557"/>
      <c r="J340" s="557" t="s">
        <v>235</v>
      </c>
      <c r="K340" s="557"/>
      <c r="L340" s="558"/>
    </row>
    <row r="341" spans="1:12" x14ac:dyDescent="0.3">
      <c r="A341" s="571" t="s">
        <v>239</v>
      </c>
      <c r="B341" s="568" t="s">
        <v>239</v>
      </c>
      <c r="C341" s="562" t="s">
        <v>239</v>
      </c>
      <c r="D341" s="557" t="s">
        <v>239</v>
      </c>
      <c r="E341" s="557"/>
      <c r="F341" s="562"/>
      <c r="G341" s="562" t="s">
        <v>239</v>
      </c>
      <c r="H341" s="562"/>
      <c r="I341" s="557"/>
      <c r="J341" s="557" t="s">
        <v>239</v>
      </c>
      <c r="K341" s="557"/>
      <c r="L341" s="558"/>
    </row>
    <row r="342" spans="1:12" x14ac:dyDescent="0.3">
      <c r="A342" s="571" t="s">
        <v>245</v>
      </c>
      <c r="B342" s="568" t="s">
        <v>1644</v>
      </c>
      <c r="C342" s="562" t="s">
        <v>1645</v>
      </c>
      <c r="D342" s="557" t="s">
        <v>1646</v>
      </c>
      <c r="E342" s="557"/>
      <c r="F342" s="562"/>
      <c r="G342" s="562" t="s">
        <v>1647</v>
      </c>
      <c r="H342" s="562"/>
      <c r="I342" s="557"/>
      <c r="J342" s="557" t="s">
        <v>1648</v>
      </c>
      <c r="K342" s="557"/>
      <c r="L342" s="558"/>
    </row>
    <row r="343" spans="1:12" x14ac:dyDescent="0.3">
      <c r="A343" s="571" t="s">
        <v>1673</v>
      </c>
      <c r="B343" s="568"/>
      <c r="C343" s="562"/>
      <c r="D343" s="557"/>
      <c r="E343" s="557"/>
      <c r="F343" s="562"/>
      <c r="G343" s="562" t="s">
        <v>708</v>
      </c>
      <c r="H343" s="562"/>
      <c r="I343" s="557"/>
      <c r="J343" s="557" t="s">
        <v>708</v>
      </c>
      <c r="K343" s="557"/>
      <c r="L343" s="558"/>
    </row>
    <row r="344" spans="1:12" x14ac:dyDescent="0.3">
      <c r="A344" s="571"/>
      <c r="B344" s="568" t="s">
        <v>1264</v>
      </c>
      <c r="C344" s="562" t="s">
        <v>1264</v>
      </c>
      <c r="D344" s="557" t="s">
        <v>1264</v>
      </c>
      <c r="E344" s="557"/>
      <c r="F344" s="562"/>
      <c r="G344" s="562" t="s">
        <v>1263</v>
      </c>
      <c r="H344" s="562"/>
      <c r="I344" s="557"/>
      <c r="J344" s="557" t="s">
        <v>1263</v>
      </c>
      <c r="K344" s="557"/>
      <c r="L344" s="558"/>
    </row>
    <row r="345" spans="1:12" x14ac:dyDescent="0.3">
      <c r="A345" s="571"/>
      <c r="B345" s="568" t="s">
        <v>1266</v>
      </c>
      <c r="C345" s="562" t="s">
        <v>1266</v>
      </c>
      <c r="D345" s="557" t="s">
        <v>1266</v>
      </c>
      <c r="E345" s="557"/>
      <c r="F345" s="562"/>
      <c r="G345" s="562" t="s">
        <v>1265</v>
      </c>
      <c r="H345" s="562"/>
      <c r="I345" s="557"/>
      <c r="J345" s="557" t="s">
        <v>1265</v>
      </c>
      <c r="K345" s="557"/>
      <c r="L345" s="558"/>
    </row>
    <row r="346" spans="1:12" x14ac:dyDescent="0.3">
      <c r="A346" s="571"/>
      <c r="B346" s="568" t="s">
        <v>1268</v>
      </c>
      <c r="C346" s="562" t="s">
        <v>1268</v>
      </c>
      <c r="D346" s="557" t="s">
        <v>1268</v>
      </c>
      <c r="E346" s="557"/>
      <c r="F346" s="562"/>
      <c r="G346" s="562" t="s">
        <v>1267</v>
      </c>
      <c r="H346" s="562"/>
      <c r="I346" s="557"/>
      <c r="J346" s="557" t="s">
        <v>1267</v>
      </c>
      <c r="K346" s="557"/>
      <c r="L346" s="558"/>
    </row>
    <row r="347" spans="1:12" x14ac:dyDescent="0.3">
      <c r="A347" s="571"/>
      <c r="B347" s="568"/>
      <c r="C347" s="562"/>
      <c r="D347" s="557"/>
      <c r="E347" s="557"/>
      <c r="F347" s="562"/>
      <c r="G347" s="562"/>
      <c r="H347" s="562"/>
      <c r="I347" s="557"/>
      <c r="J347" s="557"/>
      <c r="K347" s="557"/>
      <c r="L347" s="558"/>
    </row>
    <row r="348" spans="1:12" x14ac:dyDescent="0.3">
      <c r="A348" s="571" t="s">
        <v>331</v>
      </c>
      <c r="B348" s="568" t="s">
        <v>331</v>
      </c>
      <c r="C348" s="562" t="s">
        <v>331</v>
      </c>
      <c r="D348" s="557" t="s">
        <v>331</v>
      </c>
      <c r="E348" s="557"/>
      <c r="F348" s="562"/>
      <c r="G348" s="562" t="s">
        <v>331</v>
      </c>
      <c r="H348" s="562"/>
      <c r="I348" s="557"/>
      <c r="J348" s="557" t="s">
        <v>331</v>
      </c>
      <c r="K348" s="557"/>
      <c r="L348" s="558"/>
    </row>
    <row r="349" spans="1:12" x14ac:dyDescent="0.3">
      <c r="A349" s="571" t="s">
        <v>334</v>
      </c>
      <c r="B349" s="568" t="s">
        <v>334</v>
      </c>
      <c r="C349" s="562" t="s">
        <v>334</v>
      </c>
      <c r="D349" s="557" t="s">
        <v>334</v>
      </c>
      <c r="E349" s="557"/>
      <c r="F349" s="562"/>
      <c r="G349" s="562" t="s">
        <v>334</v>
      </c>
      <c r="H349" s="562"/>
      <c r="I349" s="557"/>
      <c r="J349" s="557" t="s">
        <v>334</v>
      </c>
      <c r="K349" s="557"/>
      <c r="L349" s="558"/>
    </row>
    <row r="350" spans="1:12" x14ac:dyDescent="0.3">
      <c r="A350" s="571" t="s">
        <v>328</v>
      </c>
      <c r="B350" s="568" t="s">
        <v>328</v>
      </c>
      <c r="C350" s="562" t="s">
        <v>328</v>
      </c>
      <c r="D350" s="557" t="s">
        <v>328</v>
      </c>
      <c r="E350" s="557"/>
      <c r="F350" s="562"/>
      <c r="G350" s="562" t="s">
        <v>328</v>
      </c>
      <c r="H350" s="562"/>
      <c r="I350" s="557"/>
      <c r="J350" s="557" t="s">
        <v>328</v>
      </c>
      <c r="K350" s="557"/>
      <c r="L350" s="558"/>
    </row>
    <row r="351" spans="1:12" x14ac:dyDescent="0.3">
      <c r="A351" s="571" t="s">
        <v>325</v>
      </c>
      <c r="B351" s="568"/>
      <c r="C351" s="562" t="s">
        <v>1270</v>
      </c>
      <c r="D351" s="557" t="s">
        <v>1270</v>
      </c>
      <c r="E351" s="557"/>
      <c r="F351" s="562"/>
      <c r="G351" s="562" t="s">
        <v>325</v>
      </c>
      <c r="H351" s="562"/>
      <c r="I351" s="557"/>
      <c r="J351" s="557" t="s">
        <v>325</v>
      </c>
      <c r="K351" s="557"/>
      <c r="L351" s="558"/>
    </row>
    <row r="352" spans="1:12" x14ac:dyDescent="0.3">
      <c r="A352" s="571"/>
      <c r="B352" s="568"/>
      <c r="C352" s="562"/>
      <c r="D352" s="557"/>
      <c r="E352" s="557"/>
      <c r="F352" s="562"/>
      <c r="G352" s="562"/>
      <c r="H352" s="562"/>
      <c r="I352" s="557"/>
      <c r="J352" s="557"/>
      <c r="K352" s="557"/>
      <c r="L352" s="558"/>
    </row>
    <row r="353" spans="1:12" x14ac:dyDescent="0.3">
      <c r="A353" s="571" t="s">
        <v>1087</v>
      </c>
      <c r="B353" s="568" t="s">
        <v>1087</v>
      </c>
      <c r="C353" s="562" t="s">
        <v>1087</v>
      </c>
      <c r="D353" s="557" t="s">
        <v>1408</v>
      </c>
      <c r="E353" s="557" t="s">
        <v>1410</v>
      </c>
      <c r="F353" s="562" t="s">
        <v>1407</v>
      </c>
      <c r="G353" s="562" t="s">
        <v>1409</v>
      </c>
      <c r="H353" s="562" t="s">
        <v>1549</v>
      </c>
      <c r="I353" s="557" t="s">
        <v>1407</v>
      </c>
      <c r="J353" s="557" t="s">
        <v>1409</v>
      </c>
      <c r="K353" s="557" t="s">
        <v>1548</v>
      </c>
      <c r="L353" s="558" t="s">
        <v>1619</v>
      </c>
    </row>
    <row r="354" spans="1:12" x14ac:dyDescent="0.3">
      <c r="A354" s="571" t="s">
        <v>249</v>
      </c>
      <c r="B354" s="568"/>
      <c r="C354" s="562" t="s">
        <v>1246</v>
      </c>
      <c r="D354" s="557" t="s">
        <v>1246</v>
      </c>
      <c r="E354" s="557"/>
      <c r="F354" s="562"/>
      <c r="G354" s="562" t="s">
        <v>1554</v>
      </c>
      <c r="H354" s="562"/>
      <c r="I354" s="557"/>
      <c r="J354" s="557" t="s">
        <v>249</v>
      </c>
      <c r="K354" s="557"/>
      <c r="L354" s="558"/>
    </row>
    <row r="355" spans="1:12" x14ac:dyDescent="0.3">
      <c r="A355" s="571" t="s">
        <v>1088</v>
      </c>
      <c r="B355" s="568"/>
      <c r="C355" s="562"/>
      <c r="D355" s="557"/>
      <c r="E355" s="557"/>
      <c r="F355" s="562" t="s">
        <v>1553</v>
      </c>
      <c r="G355" s="562"/>
      <c r="H355" s="562"/>
      <c r="I355" s="557" t="s">
        <v>1552</v>
      </c>
      <c r="J355" s="557"/>
      <c r="K355" s="557"/>
      <c r="L355" s="558"/>
    </row>
    <row r="356" spans="1:12" x14ac:dyDescent="0.3">
      <c r="A356" s="571" t="s">
        <v>1089</v>
      </c>
      <c r="B356" s="568" t="s">
        <v>1241</v>
      </c>
      <c r="C356" s="562" t="s">
        <v>1241</v>
      </c>
      <c r="D356" s="557" t="s">
        <v>1241</v>
      </c>
      <c r="E356" s="557"/>
      <c r="F356" s="562"/>
      <c r="G356" s="562" t="s">
        <v>1241</v>
      </c>
      <c r="H356" s="562"/>
      <c r="I356" s="557"/>
      <c r="J356" s="557" t="s">
        <v>1089</v>
      </c>
      <c r="K356" s="557"/>
      <c r="L356" s="558"/>
    </row>
    <row r="357" spans="1:12" x14ac:dyDescent="0.3">
      <c r="A357" s="571" t="s">
        <v>1090</v>
      </c>
      <c r="B357" s="568" t="s">
        <v>1233</v>
      </c>
      <c r="C357" s="562" t="s">
        <v>1233</v>
      </c>
      <c r="D357" s="557" t="s">
        <v>1233</v>
      </c>
      <c r="E357" s="557"/>
      <c r="F357" s="562" t="s">
        <v>1551</v>
      </c>
      <c r="G357" s="562"/>
      <c r="H357" s="562"/>
      <c r="I357" s="557" t="s">
        <v>1090</v>
      </c>
      <c r="J357" s="557"/>
      <c r="K357" s="557"/>
      <c r="L357" s="558"/>
    </row>
    <row r="358" spans="1:12" x14ac:dyDescent="0.3">
      <c r="A358" s="571" t="s">
        <v>258</v>
      </c>
      <c r="B358" s="568" t="s">
        <v>1239</v>
      </c>
      <c r="C358" s="562" t="s">
        <v>1239</v>
      </c>
      <c r="D358" s="557" t="s">
        <v>1239</v>
      </c>
      <c r="E358" s="557"/>
      <c r="F358" s="562"/>
      <c r="G358" s="562" t="s">
        <v>258</v>
      </c>
      <c r="H358" s="562"/>
      <c r="I358" s="557"/>
      <c r="J358" s="557" t="s">
        <v>258</v>
      </c>
      <c r="K358" s="557"/>
      <c r="L358" s="558"/>
    </row>
    <row r="359" spans="1:12" x14ac:dyDescent="0.3">
      <c r="A359" s="571" t="s">
        <v>262</v>
      </c>
      <c r="B359" s="568" t="s">
        <v>1235</v>
      </c>
      <c r="C359" s="562" t="s">
        <v>1235</v>
      </c>
      <c r="D359" s="557" t="s">
        <v>1235</v>
      </c>
      <c r="E359" s="557"/>
      <c r="F359" s="562"/>
      <c r="G359" s="562" t="s">
        <v>262</v>
      </c>
      <c r="H359" s="562"/>
      <c r="I359" s="557"/>
      <c r="J359" s="557" t="s">
        <v>262</v>
      </c>
      <c r="K359" s="557"/>
      <c r="L359" s="558"/>
    </row>
    <row r="360" spans="1:12" x14ac:dyDescent="0.3">
      <c r="A360" s="571" t="s">
        <v>265</v>
      </c>
      <c r="B360" s="568" t="s">
        <v>1243</v>
      </c>
      <c r="C360" s="562" t="s">
        <v>1243</v>
      </c>
      <c r="D360" s="557" t="s">
        <v>1243</v>
      </c>
      <c r="E360" s="557"/>
      <c r="F360" s="562"/>
      <c r="G360" s="562" t="s">
        <v>265</v>
      </c>
      <c r="H360" s="562"/>
      <c r="I360" s="557"/>
      <c r="J360" s="557" t="s">
        <v>265</v>
      </c>
      <c r="K360" s="557"/>
      <c r="L360" s="558"/>
    </row>
    <row r="361" spans="1:12" x14ac:dyDescent="0.3">
      <c r="A361" s="571" t="s">
        <v>1651</v>
      </c>
      <c r="B361" s="568" t="s">
        <v>1237</v>
      </c>
      <c r="C361" s="562" t="s">
        <v>1237</v>
      </c>
      <c r="D361" s="557" t="s">
        <v>1237</v>
      </c>
      <c r="E361" s="557"/>
      <c r="F361" s="562"/>
      <c r="G361" s="562" t="s">
        <v>1236</v>
      </c>
      <c r="H361" s="562"/>
      <c r="I361" s="557"/>
      <c r="J361" s="557" t="s">
        <v>1236</v>
      </c>
      <c r="K361" s="557"/>
      <c r="L361" s="558"/>
    </row>
    <row r="362" spans="1:12" x14ac:dyDescent="0.3">
      <c r="A362" s="571" t="s">
        <v>1652</v>
      </c>
      <c r="B362" s="568" t="s">
        <v>1245</v>
      </c>
      <c r="C362" s="562" t="s">
        <v>1245</v>
      </c>
      <c r="D362" s="557" t="s">
        <v>1245</v>
      </c>
      <c r="E362" s="557"/>
      <c r="F362" s="562"/>
      <c r="G362" s="562" t="s">
        <v>1555</v>
      </c>
      <c r="H362" s="562"/>
      <c r="I362" s="557"/>
      <c r="J362" s="557" t="s">
        <v>1244</v>
      </c>
      <c r="K362" s="557"/>
      <c r="L362" s="558"/>
    </row>
    <row r="363" spans="1:12" x14ac:dyDescent="0.3">
      <c r="A363" s="571"/>
      <c r="B363" s="568"/>
      <c r="C363" s="562"/>
      <c r="D363" s="557"/>
      <c r="E363" s="557"/>
      <c r="F363" s="562"/>
      <c r="G363" s="562"/>
      <c r="H363" s="562"/>
      <c r="I363" s="557"/>
      <c r="J363" s="557"/>
      <c r="K363" s="557"/>
      <c r="L363" s="558"/>
    </row>
    <row r="364" spans="1:12" x14ac:dyDescent="0.3">
      <c r="A364" s="571" t="s">
        <v>351</v>
      </c>
      <c r="B364" s="568" t="s">
        <v>1242</v>
      </c>
      <c r="C364" s="562" t="s">
        <v>1242</v>
      </c>
      <c r="D364" s="557" t="s">
        <v>1242</v>
      </c>
      <c r="E364" s="557"/>
      <c r="F364" s="562"/>
      <c r="G364" s="562" t="s">
        <v>351</v>
      </c>
      <c r="H364" s="562"/>
      <c r="I364" s="557"/>
      <c r="J364" s="557" t="s">
        <v>351</v>
      </c>
      <c r="K364" s="557"/>
      <c r="L364" s="558"/>
    </row>
    <row r="365" spans="1:12" x14ac:dyDescent="0.3">
      <c r="A365" s="571" t="s">
        <v>1091</v>
      </c>
      <c r="B365" s="568" t="s">
        <v>1240</v>
      </c>
      <c r="C365" s="562" t="s">
        <v>1240</v>
      </c>
      <c r="D365" s="557" t="s">
        <v>1240</v>
      </c>
      <c r="E365" s="557"/>
      <c r="F365" s="562"/>
      <c r="G365" s="562" t="s">
        <v>1091</v>
      </c>
      <c r="H365" s="562"/>
      <c r="I365" s="557"/>
      <c r="J365" s="557" t="s">
        <v>1091</v>
      </c>
      <c r="K365" s="557"/>
      <c r="L365" s="558"/>
    </row>
    <row r="366" spans="1:12" x14ac:dyDescent="0.3">
      <c r="A366" s="571" t="s">
        <v>1092</v>
      </c>
      <c r="B366" s="568" t="s">
        <v>1232</v>
      </c>
      <c r="C366" s="562" t="s">
        <v>1232</v>
      </c>
      <c r="D366" s="557" t="s">
        <v>1232</v>
      </c>
      <c r="E366" s="557"/>
      <c r="F366" s="562" t="s">
        <v>1550</v>
      </c>
      <c r="G366" s="562"/>
      <c r="H366" s="562"/>
      <c r="I366" s="557" t="s">
        <v>1092</v>
      </c>
      <c r="J366" s="557"/>
      <c r="K366" s="557"/>
      <c r="L366" s="558"/>
    </row>
    <row r="367" spans="1:12" x14ac:dyDescent="0.3">
      <c r="A367" s="571" t="s">
        <v>337</v>
      </c>
      <c r="B367" s="568"/>
      <c r="C367" s="562" t="s">
        <v>1247</v>
      </c>
      <c r="D367" s="557" t="s">
        <v>1247</v>
      </c>
      <c r="E367" s="557"/>
      <c r="F367" s="562"/>
      <c r="G367" s="562" t="s">
        <v>337</v>
      </c>
      <c r="H367" s="562"/>
      <c r="I367" s="557"/>
      <c r="J367" s="557" t="s">
        <v>337</v>
      </c>
      <c r="K367" s="557"/>
      <c r="L367" s="558"/>
    </row>
    <row r="368" spans="1:12" x14ac:dyDescent="0.3">
      <c r="A368" s="571" t="s">
        <v>344</v>
      </c>
      <c r="B368" s="568" t="s">
        <v>1238</v>
      </c>
      <c r="C368" s="562" t="s">
        <v>1238</v>
      </c>
      <c r="D368" s="557" t="s">
        <v>1238</v>
      </c>
      <c r="E368" s="557"/>
      <c r="F368" s="562"/>
      <c r="G368" s="562" t="s">
        <v>344</v>
      </c>
      <c r="H368" s="562"/>
      <c r="I368" s="557"/>
      <c r="J368" s="557" t="s">
        <v>344</v>
      </c>
      <c r="K368" s="557"/>
      <c r="L368" s="558"/>
    </row>
    <row r="369" spans="1:12" x14ac:dyDescent="0.3">
      <c r="A369" s="571" t="s">
        <v>347</v>
      </c>
      <c r="B369" s="568" t="s">
        <v>1234</v>
      </c>
      <c r="C369" s="562" t="s">
        <v>1234</v>
      </c>
      <c r="D369" s="557" t="s">
        <v>1234</v>
      </c>
      <c r="E369" s="557"/>
      <c r="F369" s="562"/>
      <c r="G369" s="562" t="s">
        <v>347</v>
      </c>
      <c r="H369" s="562"/>
      <c r="I369" s="557"/>
      <c r="J369" s="557" t="s">
        <v>347</v>
      </c>
      <c r="K369" s="557"/>
      <c r="L369" s="558"/>
    </row>
    <row r="370" spans="1:12" x14ac:dyDescent="0.3">
      <c r="A370" s="571"/>
      <c r="B370" s="568"/>
      <c r="C370" s="562"/>
      <c r="D370" s="557"/>
      <c r="E370" s="557"/>
      <c r="F370" s="562"/>
      <c r="G370" s="562"/>
      <c r="H370" s="562"/>
      <c r="I370" s="557"/>
      <c r="J370" s="557"/>
      <c r="K370" s="557"/>
      <c r="L370" s="558"/>
    </row>
    <row r="371" spans="1:12" x14ac:dyDescent="0.3">
      <c r="A371" s="571" t="s">
        <v>1093</v>
      </c>
      <c r="B371" s="568" t="s">
        <v>1093</v>
      </c>
      <c r="C371" s="562" t="s">
        <v>1093</v>
      </c>
      <c r="D371" s="557" t="s">
        <v>1430</v>
      </c>
      <c r="E371" s="557" t="s">
        <v>1432</v>
      </c>
      <c r="F371" s="562" t="s">
        <v>1429</v>
      </c>
      <c r="G371" s="562" t="s">
        <v>1431</v>
      </c>
      <c r="H371" s="562" t="s">
        <v>1574</v>
      </c>
      <c r="I371" s="557" t="s">
        <v>1429</v>
      </c>
      <c r="J371" s="557" t="s">
        <v>1431</v>
      </c>
      <c r="K371" s="557" t="s">
        <v>1573</v>
      </c>
      <c r="L371" s="558" t="s">
        <v>1623</v>
      </c>
    </row>
    <row r="372" spans="1:12" x14ac:dyDescent="0.3">
      <c r="A372" s="571" t="s">
        <v>266</v>
      </c>
      <c r="B372" s="568"/>
      <c r="C372" s="562" t="s">
        <v>1284</v>
      </c>
      <c r="D372" s="557" t="s">
        <v>1284</v>
      </c>
      <c r="E372" s="557"/>
      <c r="F372" s="562"/>
      <c r="G372" s="562" t="s">
        <v>266</v>
      </c>
      <c r="H372" s="562"/>
      <c r="I372" s="557"/>
      <c r="J372" s="557" t="s">
        <v>266</v>
      </c>
      <c r="K372" s="557"/>
      <c r="L372" s="558"/>
    </row>
    <row r="373" spans="1:12" x14ac:dyDescent="0.3">
      <c r="A373" s="571" t="s">
        <v>269</v>
      </c>
      <c r="B373" s="568"/>
      <c r="C373" s="562" t="s">
        <v>1283</v>
      </c>
      <c r="D373" s="557" t="s">
        <v>1283</v>
      </c>
      <c r="E373" s="557"/>
      <c r="F373" s="562"/>
      <c r="G373" s="562" t="s">
        <v>269</v>
      </c>
      <c r="H373" s="562"/>
      <c r="I373" s="557"/>
      <c r="J373" s="557" t="s">
        <v>269</v>
      </c>
      <c r="K373" s="557"/>
      <c r="L373" s="558"/>
    </row>
    <row r="374" spans="1:12" x14ac:dyDescent="0.3">
      <c r="A374" s="571" t="s">
        <v>273</v>
      </c>
      <c r="B374" s="568"/>
      <c r="C374" s="562"/>
      <c r="D374" s="557"/>
      <c r="E374" s="557"/>
      <c r="F374" s="562"/>
      <c r="G374" s="562"/>
      <c r="H374" s="562"/>
      <c r="I374" s="557"/>
      <c r="J374" s="557"/>
      <c r="K374" s="557"/>
      <c r="L374" s="558"/>
    </row>
    <row r="375" spans="1:12" x14ac:dyDescent="0.3">
      <c r="A375" s="571" t="s">
        <v>277</v>
      </c>
      <c r="B375" s="568" t="s">
        <v>1279</v>
      </c>
      <c r="C375" s="562" t="s">
        <v>1279</v>
      </c>
      <c r="D375" s="557" t="s">
        <v>1279</v>
      </c>
      <c r="E375" s="557"/>
      <c r="F375" s="562"/>
      <c r="G375" s="562" t="s">
        <v>277</v>
      </c>
      <c r="H375" s="562"/>
      <c r="I375" s="557"/>
      <c r="J375" s="557" t="s">
        <v>277</v>
      </c>
      <c r="K375" s="557"/>
      <c r="L375" s="558"/>
    </row>
    <row r="376" spans="1:12" x14ac:dyDescent="0.3">
      <c r="A376" s="571" t="s">
        <v>280</v>
      </c>
      <c r="B376" s="568" t="s">
        <v>1278</v>
      </c>
      <c r="C376" s="562" t="s">
        <v>1278</v>
      </c>
      <c r="D376" s="557" t="s">
        <v>1278</v>
      </c>
      <c r="E376" s="557"/>
      <c r="F376" s="562" t="s">
        <v>1576</v>
      </c>
      <c r="G376" s="562"/>
      <c r="H376" s="562"/>
      <c r="I376" s="557" t="s">
        <v>280</v>
      </c>
      <c r="J376" s="557"/>
      <c r="K376" s="557"/>
      <c r="L376" s="558"/>
    </row>
    <row r="377" spans="1:12" x14ac:dyDescent="0.3">
      <c r="A377" s="571"/>
      <c r="B377" s="568" t="s">
        <v>1276</v>
      </c>
      <c r="C377" s="562" t="s">
        <v>1276</v>
      </c>
      <c r="D377" s="557" t="s">
        <v>1575</v>
      </c>
      <c r="E377" s="557"/>
      <c r="F377" s="562"/>
      <c r="G377" s="562" t="s">
        <v>1275</v>
      </c>
      <c r="H377" s="562"/>
      <c r="I377" s="557"/>
      <c r="J377" s="557" t="s">
        <v>1275</v>
      </c>
      <c r="K377" s="557"/>
      <c r="L377" s="558"/>
    </row>
    <row r="378" spans="1:12" x14ac:dyDescent="0.3">
      <c r="A378" s="571"/>
      <c r="B378" s="568"/>
      <c r="C378" s="562"/>
      <c r="D378" s="557"/>
      <c r="E378" s="557"/>
      <c r="F378" s="562"/>
      <c r="G378" s="562"/>
      <c r="H378" s="562"/>
      <c r="I378" s="557"/>
      <c r="J378" s="557"/>
      <c r="K378" s="557"/>
      <c r="L378" s="558"/>
    </row>
    <row r="379" spans="1:12" x14ac:dyDescent="0.3">
      <c r="A379" s="571" t="s">
        <v>354</v>
      </c>
      <c r="B379" s="568"/>
      <c r="C379" s="562" t="s">
        <v>1282</v>
      </c>
      <c r="D379" s="557" t="s">
        <v>1282</v>
      </c>
      <c r="E379" s="557"/>
      <c r="F379" s="562"/>
      <c r="G379" s="562" t="s">
        <v>354</v>
      </c>
      <c r="H379" s="562"/>
      <c r="I379" s="557"/>
      <c r="J379" s="557" t="s">
        <v>354</v>
      </c>
      <c r="K379" s="557"/>
      <c r="L379" s="558"/>
    </row>
    <row r="380" spans="1:12" x14ac:dyDescent="0.3">
      <c r="A380" s="571" t="s">
        <v>361</v>
      </c>
      <c r="B380" s="568" t="s">
        <v>1277</v>
      </c>
      <c r="C380" s="562" t="s">
        <v>1277</v>
      </c>
      <c r="D380" s="557" t="s">
        <v>1277</v>
      </c>
      <c r="E380" s="557"/>
      <c r="F380" s="562" t="s">
        <v>1277</v>
      </c>
      <c r="G380" s="562"/>
      <c r="H380" s="562"/>
      <c r="I380" s="557" t="s">
        <v>361</v>
      </c>
      <c r="J380" s="557"/>
      <c r="K380" s="557"/>
      <c r="L380" s="558"/>
    </row>
    <row r="381" spans="1:12" x14ac:dyDescent="0.3">
      <c r="A381" s="571" t="s">
        <v>364</v>
      </c>
      <c r="B381" s="568" t="s">
        <v>1280</v>
      </c>
      <c r="C381" s="562" t="s">
        <v>1280</v>
      </c>
      <c r="D381" s="557" t="s">
        <v>1280</v>
      </c>
      <c r="E381" s="557"/>
      <c r="F381" s="562"/>
      <c r="G381" s="562" t="s">
        <v>364</v>
      </c>
      <c r="H381" s="562"/>
      <c r="I381" s="557"/>
      <c r="J381" s="557" t="s">
        <v>364</v>
      </c>
      <c r="K381" s="557"/>
      <c r="L381" s="558"/>
    </row>
    <row r="382" spans="1:12" x14ac:dyDescent="0.3">
      <c r="A382" s="571" t="s">
        <v>358</v>
      </c>
      <c r="B382" s="568"/>
      <c r="C382" s="562" t="s">
        <v>1281</v>
      </c>
      <c r="D382" s="557" t="s">
        <v>1281</v>
      </c>
      <c r="E382" s="557"/>
      <c r="F382" s="562"/>
      <c r="G382" s="562" t="s">
        <v>358</v>
      </c>
      <c r="H382" s="562"/>
      <c r="I382" s="557"/>
      <c r="J382" s="557" t="s">
        <v>358</v>
      </c>
      <c r="K382" s="557"/>
      <c r="L382" s="558"/>
    </row>
    <row r="383" spans="1:12" x14ac:dyDescent="0.3">
      <c r="A383" s="571"/>
      <c r="B383" s="568"/>
      <c r="C383" s="562"/>
      <c r="D383" s="557"/>
      <c r="E383" s="557"/>
      <c r="F383" s="562"/>
      <c r="G383" s="562"/>
      <c r="H383" s="562"/>
      <c r="I383" s="557"/>
      <c r="J383" s="557"/>
      <c r="K383" s="557"/>
      <c r="L383" s="558"/>
    </row>
    <row r="384" spans="1:12" x14ac:dyDescent="0.3">
      <c r="A384" s="571" t="s">
        <v>1094</v>
      </c>
      <c r="B384" s="568" t="s">
        <v>1094</v>
      </c>
      <c r="C384" s="562" t="s">
        <v>1094</v>
      </c>
      <c r="D384" s="557" t="s">
        <v>1396</v>
      </c>
      <c r="E384" s="557" t="s">
        <v>1398</v>
      </c>
      <c r="F384" s="562" t="s">
        <v>1395</v>
      </c>
      <c r="G384" s="562" t="s">
        <v>1397</v>
      </c>
      <c r="H384" s="562" t="s">
        <v>1525</v>
      </c>
      <c r="I384" s="557" t="s">
        <v>1395</v>
      </c>
      <c r="J384" s="557" t="s">
        <v>1397</v>
      </c>
      <c r="K384" s="557" t="s">
        <v>1524</v>
      </c>
      <c r="L384" s="558" t="s">
        <v>1612</v>
      </c>
    </row>
    <row r="385" spans="1:12" x14ac:dyDescent="0.3">
      <c r="A385" s="571" t="s">
        <v>283</v>
      </c>
      <c r="B385" s="568"/>
      <c r="C385" s="562" t="s">
        <v>1196</v>
      </c>
      <c r="D385" s="557" t="s">
        <v>1196</v>
      </c>
      <c r="E385" s="557"/>
      <c r="F385" s="562"/>
      <c r="G385" s="562" t="s">
        <v>283</v>
      </c>
      <c r="H385" s="562"/>
      <c r="I385" s="557"/>
      <c r="J385" s="557" t="s">
        <v>283</v>
      </c>
      <c r="K385" s="557"/>
      <c r="L385" s="558"/>
    </row>
    <row r="386" spans="1:12" x14ac:dyDescent="0.3">
      <c r="A386" s="571" t="s">
        <v>290</v>
      </c>
      <c r="B386" s="568"/>
      <c r="C386" s="562" t="s">
        <v>1195</v>
      </c>
      <c r="D386" s="557" t="s">
        <v>1195</v>
      </c>
      <c r="E386" s="557"/>
      <c r="F386" s="562"/>
      <c r="G386" s="562" t="s">
        <v>290</v>
      </c>
      <c r="H386" s="562"/>
      <c r="I386" s="557"/>
      <c r="J386" s="557" t="s">
        <v>290</v>
      </c>
      <c r="K386" s="557"/>
      <c r="L386" s="558"/>
    </row>
    <row r="387" spans="1:12" x14ac:dyDescent="0.3">
      <c r="A387" s="571" t="s">
        <v>747</v>
      </c>
      <c r="B387" s="568"/>
      <c r="C387" s="562"/>
      <c r="D387" s="557"/>
      <c r="E387" s="557"/>
      <c r="F387" s="562"/>
      <c r="G387" s="562" t="s">
        <v>1534</v>
      </c>
      <c r="H387" s="562"/>
      <c r="I387" s="557"/>
      <c r="J387" s="557" t="s">
        <v>747</v>
      </c>
      <c r="K387" s="557"/>
      <c r="L387" s="558"/>
    </row>
    <row r="388" spans="1:12" x14ac:dyDescent="0.3">
      <c r="A388" s="571" t="s">
        <v>300</v>
      </c>
      <c r="B388" s="568" t="s">
        <v>1183</v>
      </c>
      <c r="C388" s="562" t="s">
        <v>1183</v>
      </c>
      <c r="D388" s="557" t="s">
        <v>1183</v>
      </c>
      <c r="E388" s="557"/>
      <c r="F388" s="562"/>
      <c r="G388" s="562" t="s">
        <v>300</v>
      </c>
      <c r="H388" s="562"/>
      <c r="I388" s="557"/>
      <c r="J388" s="557" t="s">
        <v>300</v>
      </c>
      <c r="K388" s="557"/>
      <c r="L388" s="558"/>
    </row>
    <row r="389" spans="1:12" x14ac:dyDescent="0.3">
      <c r="A389" s="571"/>
      <c r="B389" s="568" t="s">
        <v>1181</v>
      </c>
      <c r="C389" s="562" t="s">
        <v>1181</v>
      </c>
      <c r="D389" s="557" t="s">
        <v>1181</v>
      </c>
      <c r="E389" s="557"/>
      <c r="F389" s="562"/>
      <c r="G389" s="562" t="s">
        <v>1180</v>
      </c>
      <c r="H389" s="562"/>
      <c r="I389" s="557"/>
      <c r="J389" s="557" t="s">
        <v>1180</v>
      </c>
      <c r="K389" s="557"/>
      <c r="L389" s="558"/>
    </row>
    <row r="390" spans="1:12" x14ac:dyDescent="0.3">
      <c r="A390" s="571"/>
      <c r="B390" s="568" t="s">
        <v>1185</v>
      </c>
      <c r="C390" s="562" t="s">
        <v>1185</v>
      </c>
      <c r="D390" s="557" t="s">
        <v>1185</v>
      </c>
      <c r="E390" s="557"/>
      <c r="F390" s="562"/>
      <c r="G390" s="562" t="s">
        <v>1184</v>
      </c>
      <c r="H390" s="562"/>
      <c r="I390" s="557"/>
      <c r="J390" s="557" t="s">
        <v>1184</v>
      </c>
      <c r="K390" s="557"/>
      <c r="L390" s="558"/>
    </row>
    <row r="391" spans="1:12" x14ac:dyDescent="0.3">
      <c r="A391" s="571"/>
      <c r="B391" s="568" t="s">
        <v>1187</v>
      </c>
      <c r="C391" s="562" t="s">
        <v>1187</v>
      </c>
      <c r="D391" s="557" t="s">
        <v>1187</v>
      </c>
      <c r="E391" s="557"/>
      <c r="F391" s="562"/>
      <c r="G391" s="562" t="s">
        <v>1186</v>
      </c>
      <c r="H391" s="562"/>
      <c r="I391" s="557"/>
      <c r="J391" s="557" t="s">
        <v>1186</v>
      </c>
      <c r="K391" s="557"/>
      <c r="L391" s="558"/>
    </row>
    <row r="392" spans="1:12" x14ac:dyDescent="0.3">
      <c r="A392" s="571"/>
      <c r="B392" s="568" t="s">
        <v>1190</v>
      </c>
      <c r="C392" s="562" t="s">
        <v>1190</v>
      </c>
      <c r="D392" s="557" t="s">
        <v>1190</v>
      </c>
      <c r="E392" s="557"/>
      <c r="F392" s="562" t="s">
        <v>1529</v>
      </c>
      <c r="G392" s="562"/>
      <c r="H392" s="562"/>
      <c r="I392" s="557" t="s">
        <v>1189</v>
      </c>
      <c r="J392" s="557"/>
      <c r="K392" s="557"/>
      <c r="L392" s="558"/>
    </row>
    <row r="393" spans="1:12" x14ac:dyDescent="0.3">
      <c r="A393" s="571"/>
      <c r="B393" s="568" t="s">
        <v>1188</v>
      </c>
      <c r="C393" s="562" t="s">
        <v>1188</v>
      </c>
      <c r="D393" s="557" t="s">
        <v>1188</v>
      </c>
      <c r="E393" s="557"/>
      <c r="F393" s="562" t="s">
        <v>1528</v>
      </c>
      <c r="G393" s="562"/>
      <c r="H393" s="562"/>
      <c r="I393" s="557" t="s">
        <v>293</v>
      </c>
      <c r="J393" s="557"/>
      <c r="K393" s="557"/>
      <c r="L393" s="558"/>
    </row>
    <row r="394" spans="1:12" x14ac:dyDescent="0.3">
      <c r="A394" s="571"/>
      <c r="B394" s="568" t="s">
        <v>1192</v>
      </c>
      <c r="C394" s="562" t="s">
        <v>1192</v>
      </c>
      <c r="D394" s="557"/>
      <c r="E394" s="557"/>
      <c r="F394" s="562"/>
      <c r="G394" s="562" t="s">
        <v>1530</v>
      </c>
      <c r="H394" s="562"/>
      <c r="I394" s="557"/>
      <c r="J394" s="557" t="s">
        <v>1191</v>
      </c>
      <c r="K394" s="557"/>
      <c r="L394" s="558"/>
    </row>
    <row r="395" spans="1:12" x14ac:dyDescent="0.3">
      <c r="A395" s="571"/>
      <c r="B395" s="568"/>
      <c r="C395" s="562" t="s">
        <v>1198</v>
      </c>
      <c r="D395" s="557" t="s">
        <v>1198</v>
      </c>
      <c r="E395" s="557"/>
      <c r="F395" s="562"/>
      <c r="G395" s="562" t="s">
        <v>1531</v>
      </c>
      <c r="H395" s="562"/>
      <c r="I395" s="557"/>
      <c r="J395" s="557" t="s">
        <v>1197</v>
      </c>
      <c r="K395" s="557"/>
      <c r="L395" s="558"/>
    </row>
    <row r="396" spans="1:12" x14ac:dyDescent="0.3">
      <c r="A396" s="571"/>
      <c r="B396" s="568"/>
      <c r="C396" s="562"/>
      <c r="D396" s="557"/>
      <c r="E396" s="557"/>
      <c r="F396" s="562" t="s">
        <v>1527</v>
      </c>
      <c r="G396" s="562"/>
      <c r="H396" s="562"/>
      <c r="I396" s="557" t="s">
        <v>1526</v>
      </c>
      <c r="J396" s="557"/>
      <c r="K396" s="557"/>
      <c r="L396" s="558"/>
    </row>
    <row r="397" spans="1:12" x14ac:dyDescent="0.3">
      <c r="A397" s="571" t="s">
        <v>1676</v>
      </c>
      <c r="B397" s="568"/>
      <c r="C397" s="562"/>
      <c r="D397" s="557"/>
      <c r="E397" s="557"/>
      <c r="F397" s="562"/>
      <c r="G397" s="562"/>
      <c r="H397" s="562"/>
      <c r="I397" s="557"/>
      <c r="J397" s="557" t="s">
        <v>1613</v>
      </c>
      <c r="K397" s="557"/>
      <c r="L397" s="558"/>
    </row>
    <row r="398" spans="1:12" x14ac:dyDescent="0.3">
      <c r="A398" s="571"/>
      <c r="B398" s="568"/>
      <c r="C398" s="562"/>
      <c r="D398" s="557"/>
      <c r="E398" s="557"/>
      <c r="F398" s="562"/>
      <c r="G398" s="562"/>
      <c r="H398" s="562"/>
      <c r="I398" s="557"/>
      <c r="J398" s="557"/>
      <c r="K398" s="557"/>
      <c r="L398" s="558"/>
    </row>
    <row r="399" spans="1:12" x14ac:dyDescent="0.3">
      <c r="A399" s="571" t="s">
        <v>372</v>
      </c>
      <c r="B399" s="568"/>
      <c r="C399" s="562" t="s">
        <v>1194</v>
      </c>
      <c r="D399" s="557" t="s">
        <v>1194</v>
      </c>
      <c r="E399" s="557"/>
      <c r="F399" s="562"/>
      <c r="G399" s="562" t="s">
        <v>1532</v>
      </c>
      <c r="H399" s="562"/>
      <c r="I399" s="557"/>
      <c r="J399" s="557" t="s">
        <v>372</v>
      </c>
      <c r="K399" s="557"/>
      <c r="L399" s="558"/>
    </row>
    <row r="400" spans="1:12" x14ac:dyDescent="0.3">
      <c r="A400" s="571" t="s">
        <v>367</v>
      </c>
      <c r="B400" s="568"/>
      <c r="C400" s="562" t="s">
        <v>1193</v>
      </c>
      <c r="D400" s="557" t="s">
        <v>1193</v>
      </c>
      <c r="E400" s="557"/>
      <c r="F400" s="562"/>
      <c r="G400" s="562" t="s">
        <v>1193</v>
      </c>
      <c r="H400" s="562"/>
      <c r="I400" s="557"/>
      <c r="J400" s="557" t="s">
        <v>367</v>
      </c>
      <c r="K400" s="557"/>
      <c r="L400" s="558"/>
    </row>
    <row r="401" spans="1:12" x14ac:dyDescent="0.3">
      <c r="A401" s="571" t="s">
        <v>1095</v>
      </c>
      <c r="B401" s="568"/>
      <c r="C401" s="562"/>
      <c r="D401" s="557" t="s">
        <v>1533</v>
      </c>
      <c r="E401" s="557"/>
      <c r="F401" s="562"/>
      <c r="G401" s="562" t="s">
        <v>1533</v>
      </c>
      <c r="H401" s="562"/>
      <c r="I401" s="557"/>
      <c r="J401" s="557" t="s">
        <v>1095</v>
      </c>
      <c r="K401" s="557"/>
      <c r="L401" s="558"/>
    </row>
    <row r="402" spans="1:12" x14ac:dyDescent="0.3">
      <c r="A402" s="571" t="s">
        <v>1096</v>
      </c>
      <c r="B402" s="568" t="s">
        <v>1182</v>
      </c>
      <c r="C402" s="562" t="s">
        <v>1653</v>
      </c>
      <c r="D402" s="557" t="s">
        <v>1654</v>
      </c>
      <c r="E402" s="557"/>
      <c r="F402" s="562"/>
      <c r="G402" s="562" t="s">
        <v>1182</v>
      </c>
      <c r="H402" s="562"/>
      <c r="I402" s="557"/>
      <c r="J402" s="557" t="s">
        <v>1096</v>
      </c>
      <c r="K402" s="557"/>
      <c r="L402" s="558"/>
    </row>
    <row r="403" spans="1:12" x14ac:dyDescent="0.3">
      <c r="A403" s="571"/>
      <c r="B403" s="568"/>
      <c r="C403" s="562"/>
      <c r="D403" s="557"/>
      <c r="E403" s="557"/>
      <c r="F403" s="562"/>
      <c r="G403" s="562"/>
      <c r="H403" s="562"/>
      <c r="I403" s="557"/>
      <c r="J403" s="557"/>
      <c r="K403" s="557"/>
      <c r="L403" s="558"/>
    </row>
    <row r="404" spans="1:12" x14ac:dyDescent="0.3">
      <c r="A404" s="571" t="s">
        <v>1097</v>
      </c>
      <c r="B404" s="568" t="s">
        <v>1097</v>
      </c>
      <c r="C404" s="562" t="s">
        <v>1097</v>
      </c>
      <c r="D404" s="557" t="s">
        <v>1434</v>
      </c>
      <c r="E404" s="557" t="s">
        <v>1436</v>
      </c>
      <c r="F404" s="562" t="s">
        <v>1433</v>
      </c>
      <c r="G404" s="562" t="s">
        <v>1435</v>
      </c>
      <c r="H404" s="562" t="s">
        <v>1578</v>
      </c>
      <c r="I404" s="557" t="s">
        <v>1433</v>
      </c>
      <c r="J404" s="557" t="s">
        <v>1435</v>
      </c>
      <c r="K404" s="557" t="s">
        <v>1577</v>
      </c>
      <c r="L404" s="558" t="s">
        <v>1624</v>
      </c>
    </row>
    <row r="405" spans="1:12" x14ac:dyDescent="0.3">
      <c r="A405" s="571" t="s">
        <v>303</v>
      </c>
      <c r="B405" s="568"/>
      <c r="C405" s="562" t="s">
        <v>1298</v>
      </c>
      <c r="D405" s="557" t="s">
        <v>1298</v>
      </c>
      <c r="E405" s="557"/>
      <c r="F405" s="562"/>
      <c r="G405" s="562" t="s">
        <v>303</v>
      </c>
      <c r="H405" s="562"/>
      <c r="I405" s="557"/>
      <c r="J405" s="557" t="s">
        <v>303</v>
      </c>
      <c r="K405" s="557"/>
      <c r="L405" s="558"/>
    </row>
    <row r="406" spans="1:12" x14ac:dyDescent="0.3">
      <c r="A406" s="571" t="s">
        <v>307</v>
      </c>
      <c r="B406" s="568"/>
      <c r="C406" s="562" t="s">
        <v>1294</v>
      </c>
      <c r="D406" s="557" t="s">
        <v>1294</v>
      </c>
      <c r="E406" s="557"/>
      <c r="F406" s="562"/>
      <c r="G406" s="562"/>
      <c r="H406" s="562"/>
      <c r="I406" s="557"/>
      <c r="J406" s="557"/>
      <c r="K406" s="557"/>
      <c r="L406" s="558"/>
    </row>
    <row r="407" spans="1:12" x14ac:dyDescent="0.3">
      <c r="A407" s="571" t="s">
        <v>310</v>
      </c>
      <c r="B407" s="568" t="s">
        <v>310</v>
      </c>
      <c r="C407" s="562" t="s">
        <v>310</v>
      </c>
      <c r="D407" s="557" t="s">
        <v>310</v>
      </c>
      <c r="E407" s="557"/>
      <c r="F407" s="562" t="s">
        <v>1657</v>
      </c>
      <c r="G407" s="562"/>
      <c r="H407" s="562"/>
      <c r="I407" s="557" t="s">
        <v>1658</v>
      </c>
      <c r="J407" s="557"/>
      <c r="K407" s="557"/>
      <c r="L407" s="558"/>
    </row>
    <row r="408" spans="1:12" x14ac:dyDescent="0.3">
      <c r="A408" s="571" t="s">
        <v>315</v>
      </c>
      <c r="B408" s="568" t="s">
        <v>315</v>
      </c>
      <c r="C408" s="562" t="s">
        <v>315</v>
      </c>
      <c r="D408" s="557" t="s">
        <v>315</v>
      </c>
      <c r="E408" s="557"/>
      <c r="F408" s="562"/>
      <c r="G408" s="562" t="s">
        <v>315</v>
      </c>
      <c r="H408" s="562"/>
      <c r="I408" s="557"/>
      <c r="J408" s="557" t="s">
        <v>315</v>
      </c>
      <c r="K408" s="557"/>
      <c r="L408" s="558"/>
    </row>
    <row r="409" spans="1:12" x14ac:dyDescent="0.3">
      <c r="A409" s="571"/>
      <c r="B409" s="568" t="s">
        <v>1286</v>
      </c>
      <c r="C409" s="562" t="s">
        <v>1286</v>
      </c>
      <c r="D409" s="557" t="s">
        <v>1286</v>
      </c>
      <c r="E409" s="557"/>
      <c r="F409" s="562"/>
      <c r="G409" s="562" t="s">
        <v>1285</v>
      </c>
      <c r="H409" s="562"/>
      <c r="I409" s="557"/>
      <c r="J409" s="557" t="s">
        <v>1285</v>
      </c>
      <c r="K409" s="557"/>
      <c r="L409" s="558"/>
    </row>
    <row r="410" spans="1:12" x14ac:dyDescent="0.3">
      <c r="A410" s="571"/>
      <c r="B410" s="568" t="s">
        <v>1288</v>
      </c>
      <c r="C410" s="562" t="s">
        <v>1288</v>
      </c>
      <c r="D410" s="557" t="s">
        <v>1288</v>
      </c>
      <c r="E410" s="557"/>
      <c r="F410" s="562"/>
      <c r="G410" s="562" t="s">
        <v>1287</v>
      </c>
      <c r="H410" s="562"/>
      <c r="I410" s="557"/>
      <c r="J410" s="557" t="s">
        <v>1287</v>
      </c>
      <c r="K410" s="557"/>
      <c r="L410" s="558"/>
    </row>
    <row r="411" spans="1:12" x14ac:dyDescent="0.3">
      <c r="A411" s="571"/>
      <c r="B411" s="568" t="s">
        <v>1290</v>
      </c>
      <c r="C411" s="562" t="s">
        <v>1290</v>
      </c>
      <c r="D411" s="557" t="s">
        <v>1290</v>
      </c>
      <c r="E411" s="557"/>
      <c r="F411" s="562"/>
      <c r="G411" s="562" t="s">
        <v>1289</v>
      </c>
      <c r="H411" s="562"/>
      <c r="I411" s="557"/>
      <c r="J411" s="557" t="s">
        <v>1289</v>
      </c>
      <c r="K411" s="557"/>
      <c r="L411" s="558"/>
    </row>
    <row r="412" spans="1:12" x14ac:dyDescent="0.3">
      <c r="A412" s="571"/>
      <c r="B412" s="568"/>
      <c r="C412" s="562" t="s">
        <v>1296</v>
      </c>
      <c r="D412" s="557" t="s">
        <v>1579</v>
      </c>
      <c r="E412" s="557"/>
      <c r="F412" s="562"/>
      <c r="G412" s="562" t="s">
        <v>1295</v>
      </c>
      <c r="H412" s="562"/>
      <c r="I412" s="557"/>
      <c r="J412" s="557" t="s">
        <v>1295</v>
      </c>
      <c r="K412" s="557"/>
      <c r="L412" s="558"/>
    </row>
    <row r="413" spans="1:12" x14ac:dyDescent="0.3">
      <c r="A413" s="571"/>
      <c r="B413" s="568"/>
      <c r="C413" s="562" t="s">
        <v>1300</v>
      </c>
      <c r="D413" s="557" t="s">
        <v>1300</v>
      </c>
      <c r="E413" s="557"/>
      <c r="F413" s="562"/>
      <c r="G413" s="562" t="s">
        <v>1299</v>
      </c>
      <c r="H413" s="562"/>
      <c r="I413" s="557"/>
      <c r="J413" s="557" t="s">
        <v>1299</v>
      </c>
      <c r="K413" s="557"/>
      <c r="L413" s="558"/>
    </row>
    <row r="414" spans="1:12" x14ac:dyDescent="0.3">
      <c r="A414" s="571"/>
      <c r="B414" s="568"/>
      <c r="C414" s="562"/>
      <c r="D414" s="557"/>
      <c r="E414" s="557"/>
      <c r="F414" s="562"/>
      <c r="G414" s="562"/>
      <c r="H414" s="562"/>
      <c r="I414" s="557"/>
      <c r="J414" s="557"/>
      <c r="K414" s="557"/>
      <c r="L414" s="558"/>
    </row>
    <row r="415" spans="1:12" x14ac:dyDescent="0.3">
      <c r="A415" s="571" t="s">
        <v>261</v>
      </c>
      <c r="B415" s="568"/>
      <c r="C415" s="562" t="s">
        <v>1293</v>
      </c>
      <c r="D415" s="557" t="s">
        <v>1293</v>
      </c>
      <c r="E415" s="557"/>
      <c r="F415" s="562"/>
      <c r="G415" s="562"/>
      <c r="H415" s="562"/>
      <c r="I415" s="557"/>
      <c r="J415" s="557"/>
      <c r="K415" s="557"/>
      <c r="L415" s="558"/>
    </row>
    <row r="416" spans="1:12" x14ac:dyDescent="0.3">
      <c r="A416" s="571" t="s">
        <v>254</v>
      </c>
      <c r="B416" s="568" t="s">
        <v>254</v>
      </c>
      <c r="C416" s="562" t="s">
        <v>254</v>
      </c>
      <c r="D416" s="557" t="s">
        <v>254</v>
      </c>
      <c r="E416" s="557"/>
      <c r="F416" s="562"/>
      <c r="G416" s="562" t="s">
        <v>254</v>
      </c>
      <c r="H416" s="562"/>
      <c r="I416" s="557"/>
      <c r="J416" s="557" t="s">
        <v>254</v>
      </c>
      <c r="K416" s="557"/>
      <c r="L416" s="558"/>
    </row>
    <row r="417" spans="1:12" x14ac:dyDescent="0.3">
      <c r="A417" s="571" t="s">
        <v>252</v>
      </c>
      <c r="B417" s="568"/>
      <c r="C417" s="562" t="s">
        <v>1297</v>
      </c>
      <c r="D417" s="557" t="s">
        <v>1297</v>
      </c>
      <c r="E417" s="557"/>
      <c r="F417" s="562"/>
      <c r="G417" s="562" t="s">
        <v>252</v>
      </c>
      <c r="H417" s="562"/>
      <c r="I417" s="557"/>
      <c r="J417" s="557" t="s">
        <v>252</v>
      </c>
      <c r="K417" s="557"/>
      <c r="L417" s="558"/>
    </row>
    <row r="418" spans="1:12" x14ac:dyDescent="0.3">
      <c r="A418" s="571" t="s">
        <v>257</v>
      </c>
      <c r="B418" s="568"/>
      <c r="C418" s="562" t="s">
        <v>1581</v>
      </c>
      <c r="D418" s="557" t="s">
        <v>1581</v>
      </c>
      <c r="E418" s="557"/>
      <c r="F418" s="562" t="s">
        <v>1580</v>
      </c>
      <c r="G418" s="562"/>
      <c r="H418" s="562"/>
      <c r="I418" s="557" t="s">
        <v>257</v>
      </c>
      <c r="J418" s="557"/>
      <c r="K418" s="557"/>
      <c r="L418" s="558"/>
    </row>
    <row r="419" spans="1:12" x14ac:dyDescent="0.3">
      <c r="A419" s="571"/>
      <c r="B419" s="568" t="s">
        <v>1292</v>
      </c>
      <c r="C419" s="562" t="s">
        <v>1292</v>
      </c>
      <c r="D419" s="557" t="s">
        <v>1292</v>
      </c>
      <c r="E419" s="557"/>
      <c r="F419" s="562"/>
      <c r="G419" s="562" t="s">
        <v>1291</v>
      </c>
      <c r="H419" s="562"/>
      <c r="I419" s="557"/>
      <c r="J419" s="557" t="s">
        <v>1291</v>
      </c>
      <c r="K419" s="557"/>
      <c r="L419" s="558"/>
    </row>
    <row r="420" spans="1:12" x14ac:dyDescent="0.3">
      <c r="A420" s="571"/>
      <c r="B420" s="568"/>
      <c r="C420" s="562"/>
      <c r="D420" s="557"/>
      <c r="E420" s="557"/>
      <c r="F420" s="562"/>
      <c r="G420" s="562"/>
      <c r="H420" s="562"/>
      <c r="I420" s="557"/>
      <c r="J420" s="557"/>
      <c r="K420" s="557"/>
      <c r="L420" s="558"/>
    </row>
    <row r="421" spans="1:12" x14ac:dyDescent="0.3">
      <c r="A421" s="571" t="s">
        <v>1098</v>
      </c>
      <c r="B421" s="568"/>
      <c r="C421" s="562"/>
      <c r="D421" s="557"/>
      <c r="E421" s="557"/>
      <c r="F421" s="562"/>
      <c r="G421" s="562"/>
      <c r="H421" s="562"/>
      <c r="I421" s="557"/>
      <c r="J421" s="557"/>
      <c r="K421" s="557"/>
      <c r="L421" s="558"/>
    </row>
    <row r="422" spans="1:12" x14ac:dyDescent="0.3">
      <c r="A422" s="571" t="s">
        <v>773</v>
      </c>
      <c r="B422" s="568"/>
      <c r="C422" s="562"/>
      <c r="D422" s="557"/>
      <c r="E422" s="557"/>
      <c r="F422" s="562"/>
      <c r="G422" s="562"/>
      <c r="H422" s="562"/>
      <c r="I422" s="557"/>
      <c r="J422" s="557"/>
      <c r="K422" s="557"/>
      <c r="L422" s="558"/>
    </row>
    <row r="423" spans="1:12" x14ac:dyDescent="0.3">
      <c r="A423" s="571" t="s">
        <v>272</v>
      </c>
      <c r="B423" s="568"/>
      <c r="C423" s="562"/>
      <c r="D423" s="557"/>
      <c r="E423" s="557"/>
      <c r="F423" s="562"/>
      <c r="G423" s="562"/>
      <c r="H423" s="562"/>
      <c r="I423" s="557"/>
      <c r="J423" s="557"/>
      <c r="K423" s="557"/>
      <c r="L423" s="558"/>
    </row>
    <row r="424" spans="1:12" x14ac:dyDescent="0.3">
      <c r="A424" s="571" t="s">
        <v>276</v>
      </c>
      <c r="B424" s="568"/>
      <c r="C424" s="562" t="s">
        <v>1172</v>
      </c>
      <c r="D424" s="557" t="s">
        <v>276</v>
      </c>
      <c r="E424" s="557"/>
      <c r="F424" s="562"/>
      <c r="G424" s="562"/>
      <c r="H424" s="562" t="s">
        <v>1516</v>
      </c>
      <c r="I424" s="557"/>
      <c r="J424" s="557"/>
      <c r="K424" s="559" t="s">
        <v>276</v>
      </c>
      <c r="L424" s="558"/>
    </row>
    <row r="425" spans="1:12" x14ac:dyDescent="0.3">
      <c r="A425" s="571" t="s">
        <v>286</v>
      </c>
      <c r="B425" s="568"/>
      <c r="C425" s="562" t="s">
        <v>286</v>
      </c>
      <c r="D425" s="557" t="s">
        <v>286</v>
      </c>
      <c r="E425" s="557"/>
      <c r="F425" s="562"/>
      <c r="G425" s="562" t="s">
        <v>286</v>
      </c>
      <c r="H425" s="562"/>
      <c r="I425" s="557"/>
      <c r="J425" s="557" t="s">
        <v>286</v>
      </c>
      <c r="K425" s="557"/>
      <c r="L425" s="558"/>
    </row>
    <row r="426" spans="1:12" x14ac:dyDescent="0.3">
      <c r="A426" s="571" t="s">
        <v>279</v>
      </c>
      <c r="B426" s="568"/>
      <c r="C426" s="562" t="s">
        <v>1110</v>
      </c>
      <c r="D426" s="557"/>
      <c r="E426" s="557" t="s">
        <v>1110</v>
      </c>
      <c r="F426" s="562"/>
      <c r="G426" s="562"/>
      <c r="H426" s="562" t="s">
        <v>1463</v>
      </c>
      <c r="I426" s="557"/>
      <c r="J426" s="557"/>
      <c r="K426" s="557"/>
      <c r="L426" s="558"/>
    </row>
    <row r="427" spans="1:12" x14ac:dyDescent="0.3">
      <c r="A427" s="571" t="s">
        <v>289</v>
      </c>
      <c r="B427" s="568"/>
      <c r="C427" s="562"/>
      <c r="D427" s="557" t="s">
        <v>1376</v>
      </c>
      <c r="E427" s="557"/>
      <c r="F427" s="562" t="s">
        <v>1661</v>
      </c>
      <c r="G427" s="562"/>
      <c r="H427" s="562"/>
      <c r="I427" s="557" t="s">
        <v>1662</v>
      </c>
      <c r="J427" s="557"/>
      <c r="K427" s="557"/>
      <c r="L427" s="558"/>
    </row>
    <row r="428" spans="1:12" ht="17.25" thickBot="1" x14ac:dyDescent="0.35">
      <c r="A428" s="572" t="s">
        <v>1099</v>
      </c>
      <c r="B428" s="569"/>
      <c r="C428" s="563" t="s">
        <v>1252</v>
      </c>
      <c r="D428" s="560"/>
      <c r="E428" s="560"/>
      <c r="F428" s="563"/>
      <c r="G428" s="563" t="s">
        <v>1252</v>
      </c>
      <c r="H428" s="563"/>
      <c r="I428" s="560"/>
      <c r="J428" s="560"/>
      <c r="K428" s="560"/>
      <c r="L428" s="561"/>
    </row>
  </sheetData>
  <sheetProtection algorithmName="SHA-512" hashValue="z+zoFsBEuFQjMuiw0950W9tNrc4bV+SaVBFQW8m5QJx0jgDngm9pqF16olcSdiUWvf5WCBi0jjrRFyEkx3v1Zw==" saltValue="r8KOISTfUUYwiH7/30joBg==" spinCount="100000" sheet="1" objects="1" scenario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/>
  <dimension ref="A1:K213"/>
  <sheetViews>
    <sheetView zoomScaleNormal="100" workbookViewId="0">
      <pane xSplit="1" ySplit="2" topLeftCell="B71" activePane="bottomRight" state="frozen"/>
      <selection pane="topRight" activeCell="B1" sqref="B1"/>
      <selection pane="bottomLeft" activeCell="A3" sqref="A3"/>
      <selection pane="bottomRight" activeCell="J90" sqref="J90"/>
    </sheetView>
  </sheetViews>
  <sheetFormatPr defaultRowHeight="16.5" x14ac:dyDescent="0.3"/>
  <cols>
    <col min="1" max="1" width="19.25" style="546" bestFit="1" customWidth="1"/>
    <col min="2" max="2" width="20.25" style="547" bestFit="1" customWidth="1"/>
    <col min="3" max="4" width="19.75" style="546" customWidth="1"/>
    <col min="5" max="7" width="19.75" style="547" customWidth="1"/>
    <col min="8" max="11" width="19.75" style="546" customWidth="1"/>
    <col min="12" max="14" width="19.75" customWidth="1"/>
  </cols>
  <sheetData>
    <row r="1" spans="1:11" x14ac:dyDescent="0.3">
      <c r="A1" s="546" t="s">
        <v>1102</v>
      </c>
      <c r="B1" s="547" t="s">
        <v>1048</v>
      </c>
      <c r="C1" s="546" t="s">
        <v>1302</v>
      </c>
      <c r="D1" s="546" t="s">
        <v>1302</v>
      </c>
      <c r="E1" s="547" t="s">
        <v>1437</v>
      </c>
      <c r="F1" s="547" t="s">
        <v>1437</v>
      </c>
      <c r="G1" s="547" t="s">
        <v>1437</v>
      </c>
      <c r="H1" s="546" t="s">
        <v>1582</v>
      </c>
      <c r="I1" s="546" t="s">
        <v>1582</v>
      </c>
      <c r="J1" s="546" t="s">
        <v>1582</v>
      </c>
      <c r="K1" s="546" t="s">
        <v>1582</v>
      </c>
    </row>
    <row r="2" spans="1:11" x14ac:dyDescent="0.3">
      <c r="A2" s="546" t="s">
        <v>1049</v>
      </c>
      <c r="B2" s="547" t="s">
        <v>1301</v>
      </c>
      <c r="C2" s="546" t="s">
        <v>1304</v>
      </c>
      <c r="D2" s="546" t="s">
        <v>1306</v>
      </c>
      <c r="E2" s="547" t="s">
        <v>1304</v>
      </c>
      <c r="F2" s="547" t="s">
        <v>1306</v>
      </c>
      <c r="G2" s="547" t="s">
        <v>1439</v>
      </c>
      <c r="H2" s="546" t="s">
        <v>1303</v>
      </c>
      <c r="I2" s="546" t="s">
        <v>1305</v>
      </c>
      <c r="J2" s="546" t="s">
        <v>1438</v>
      </c>
      <c r="K2" s="546" t="s">
        <v>1583</v>
      </c>
    </row>
    <row r="3" spans="1:11" x14ac:dyDescent="0.3">
      <c r="A3" s="546" t="s">
        <v>1051</v>
      </c>
      <c r="B3" s="547" t="s">
        <v>1177</v>
      </c>
      <c r="C3" s="546" t="s">
        <v>1177</v>
      </c>
      <c r="D3" s="546" t="s">
        <v>1354</v>
      </c>
      <c r="E3" s="547" t="s">
        <v>1352</v>
      </c>
      <c r="F3" s="547" t="s">
        <v>1628</v>
      </c>
      <c r="G3" s="547" t="s">
        <v>163</v>
      </c>
      <c r="H3" s="546" t="s">
        <v>1351</v>
      </c>
      <c r="I3" s="546" t="s">
        <v>1629</v>
      </c>
      <c r="J3" s="546" t="s">
        <v>163</v>
      </c>
      <c r="K3" s="546" t="s">
        <v>1588</v>
      </c>
    </row>
    <row r="4" spans="1:11" x14ac:dyDescent="0.3">
      <c r="A4" s="546" t="s">
        <v>227</v>
      </c>
      <c r="B4" s="547" t="s">
        <v>1176</v>
      </c>
      <c r="C4" s="546" t="s">
        <v>1176</v>
      </c>
      <c r="D4" s="546" t="s">
        <v>1119</v>
      </c>
      <c r="E4" s="547" t="s">
        <v>1383</v>
      </c>
      <c r="F4" s="547" t="s">
        <v>1354</v>
      </c>
      <c r="G4" s="547" t="s">
        <v>167</v>
      </c>
      <c r="H4" s="546" t="s">
        <v>1382</v>
      </c>
      <c r="I4" s="546" t="s">
        <v>1353</v>
      </c>
      <c r="J4" s="546" t="s">
        <v>167</v>
      </c>
      <c r="K4" s="546" t="s">
        <v>1606</v>
      </c>
    </row>
    <row r="5" spans="1:11" x14ac:dyDescent="0.3">
      <c r="A5" s="546" t="s">
        <v>1053</v>
      </c>
      <c r="B5" s="547" t="s">
        <v>1051</v>
      </c>
      <c r="C5" s="546" t="s">
        <v>1390</v>
      </c>
      <c r="D5" s="546" t="s">
        <v>1356</v>
      </c>
      <c r="E5" s="547" t="s">
        <v>1379</v>
      </c>
      <c r="F5" s="547" t="s">
        <v>1481</v>
      </c>
      <c r="G5" s="547" t="s">
        <v>184</v>
      </c>
      <c r="H5" s="546" t="s">
        <v>1378</v>
      </c>
      <c r="I5" s="546" t="s">
        <v>227</v>
      </c>
      <c r="J5" s="546" t="s">
        <v>184</v>
      </c>
      <c r="K5" s="546" t="s">
        <v>1605</v>
      </c>
    </row>
    <row r="6" spans="1:11" x14ac:dyDescent="0.3">
      <c r="A6" s="546" t="s">
        <v>1054</v>
      </c>
      <c r="B6" s="547" t="s">
        <v>1119</v>
      </c>
      <c r="C6" s="546" t="s">
        <v>1727</v>
      </c>
      <c r="D6" s="546" t="s">
        <v>1355</v>
      </c>
      <c r="E6" s="547" t="s">
        <v>1392</v>
      </c>
      <c r="F6" s="547" t="s">
        <v>1479</v>
      </c>
      <c r="G6" s="547" t="s">
        <v>1478</v>
      </c>
      <c r="H6" s="546" t="s">
        <v>1391</v>
      </c>
      <c r="I6" s="546" t="s">
        <v>1053</v>
      </c>
      <c r="J6" s="546" t="s">
        <v>1609</v>
      </c>
      <c r="K6" s="546" t="s">
        <v>1610</v>
      </c>
    </row>
    <row r="7" spans="1:11" x14ac:dyDescent="0.3">
      <c r="A7" s="546" t="s">
        <v>1118</v>
      </c>
      <c r="B7" s="547" t="s">
        <v>1120</v>
      </c>
      <c r="C7" s="546" t="s">
        <v>1352</v>
      </c>
      <c r="D7" s="546" t="s">
        <v>1357</v>
      </c>
      <c r="E7" s="547" t="s">
        <v>1364</v>
      </c>
      <c r="F7" s="547" t="s">
        <v>1480</v>
      </c>
      <c r="G7" s="547" t="s">
        <v>1119</v>
      </c>
      <c r="H7" s="546" t="s">
        <v>1363</v>
      </c>
      <c r="I7" s="546" t="s">
        <v>1054</v>
      </c>
      <c r="J7" s="546" t="s">
        <v>1477</v>
      </c>
      <c r="K7" s="546" t="s">
        <v>1611</v>
      </c>
    </row>
    <row r="8" spans="1:11" x14ac:dyDescent="0.3">
      <c r="A8" s="546" t="s">
        <v>1056</v>
      </c>
      <c r="B8" s="547" t="s">
        <v>1132</v>
      </c>
      <c r="C8" s="546" t="s">
        <v>1358</v>
      </c>
      <c r="D8" s="546" t="s">
        <v>1131</v>
      </c>
      <c r="E8" s="547" t="s">
        <v>1336</v>
      </c>
      <c r="F8" s="547" t="s">
        <v>1129</v>
      </c>
      <c r="G8" s="547" t="s">
        <v>1356</v>
      </c>
      <c r="H8" s="546" t="s">
        <v>1335</v>
      </c>
      <c r="I8" s="546" t="s">
        <v>1589</v>
      </c>
      <c r="J8" s="546" t="s">
        <v>219</v>
      </c>
      <c r="K8" s="546" t="s">
        <v>185</v>
      </c>
    </row>
    <row r="9" spans="1:11" x14ac:dyDescent="0.3">
      <c r="A9" s="546" t="s">
        <v>1057</v>
      </c>
      <c r="B9" s="547" t="s">
        <v>1121</v>
      </c>
      <c r="C9" s="546" t="s">
        <v>1053</v>
      </c>
      <c r="D9" s="546" t="s">
        <v>1385</v>
      </c>
      <c r="E9" s="547" t="s">
        <v>1360</v>
      </c>
      <c r="F9" s="547" t="s">
        <v>1385</v>
      </c>
      <c r="G9" s="547" t="s">
        <v>1355</v>
      </c>
      <c r="H9" s="546" t="s">
        <v>1359</v>
      </c>
      <c r="I9" s="546" t="s">
        <v>767</v>
      </c>
      <c r="J9" s="546" t="s">
        <v>223</v>
      </c>
      <c r="K9" s="546" t="s">
        <v>188</v>
      </c>
    </row>
    <row r="10" spans="1:11" x14ac:dyDescent="0.3">
      <c r="A10" s="546" t="s">
        <v>1164</v>
      </c>
      <c r="B10" s="547" t="s">
        <v>227</v>
      </c>
      <c r="C10" s="546" t="s">
        <v>1054</v>
      </c>
      <c r="D10" s="546" t="s">
        <v>1386</v>
      </c>
      <c r="E10" s="547" t="s">
        <v>1490</v>
      </c>
      <c r="F10" s="547" t="s">
        <v>1381</v>
      </c>
      <c r="G10" s="547" t="s">
        <v>1357</v>
      </c>
      <c r="H10" s="546" t="s">
        <v>1138</v>
      </c>
      <c r="I10" s="546" t="s">
        <v>1384</v>
      </c>
      <c r="J10" s="546" t="s">
        <v>240</v>
      </c>
      <c r="K10" s="546" t="s">
        <v>190</v>
      </c>
    </row>
    <row r="11" spans="1:11" x14ac:dyDescent="0.3">
      <c r="A11" s="546" t="s">
        <v>1162</v>
      </c>
      <c r="B11" s="547" t="s">
        <v>1053</v>
      </c>
      <c r="C11" s="546" t="s">
        <v>1129</v>
      </c>
      <c r="D11" s="546" t="s">
        <v>1389</v>
      </c>
      <c r="E11" s="547" t="s">
        <v>1442</v>
      </c>
      <c r="F11" s="547" t="s">
        <v>1511</v>
      </c>
      <c r="G11" s="547" t="s">
        <v>1131</v>
      </c>
      <c r="H11" s="546" t="s">
        <v>1307</v>
      </c>
      <c r="I11" s="546" t="s">
        <v>1380</v>
      </c>
      <c r="J11" s="546" t="s">
        <v>236</v>
      </c>
      <c r="K11" s="546" t="s">
        <v>181</v>
      </c>
    </row>
    <row r="12" spans="1:11" x14ac:dyDescent="0.3">
      <c r="A12" s="546" t="s">
        <v>1160</v>
      </c>
      <c r="B12" s="547" t="s">
        <v>1054</v>
      </c>
      <c r="C12" s="546" t="s">
        <v>1383</v>
      </c>
      <c r="D12" s="546" t="s">
        <v>1387</v>
      </c>
      <c r="E12" s="547" t="s">
        <v>1368</v>
      </c>
      <c r="F12" s="547" t="s">
        <v>1162</v>
      </c>
      <c r="G12" s="547" t="s">
        <v>1518</v>
      </c>
      <c r="H12" s="546" t="s">
        <v>229</v>
      </c>
      <c r="I12" s="546" t="s">
        <v>141</v>
      </c>
      <c r="J12" s="546" t="s">
        <v>766</v>
      </c>
      <c r="K12" s="546" t="s">
        <v>301</v>
      </c>
    </row>
    <row r="13" spans="1:11" x14ac:dyDescent="0.3">
      <c r="A13" s="546" t="s">
        <v>1167</v>
      </c>
      <c r="B13" s="547" t="s">
        <v>1118</v>
      </c>
      <c r="C13" s="546" t="s">
        <v>1379</v>
      </c>
      <c r="D13" s="546" t="s">
        <v>1388</v>
      </c>
      <c r="E13" s="547" t="s">
        <v>1377</v>
      </c>
      <c r="F13" s="547" t="s">
        <v>1509</v>
      </c>
      <c r="G13" s="547" t="s">
        <v>1174</v>
      </c>
      <c r="H13" s="546" t="s">
        <v>1367</v>
      </c>
      <c r="I13" s="546" t="s">
        <v>145</v>
      </c>
      <c r="J13" s="546" t="s">
        <v>1517</v>
      </c>
      <c r="K13" s="546" t="s">
        <v>306</v>
      </c>
    </row>
    <row r="14" spans="1:11" x14ac:dyDescent="0.3">
      <c r="A14" s="546" t="s">
        <v>1163</v>
      </c>
      <c r="B14" s="547" t="s">
        <v>1131</v>
      </c>
      <c r="C14" s="546" t="s">
        <v>1164</v>
      </c>
      <c r="D14" s="546" t="s">
        <v>1381</v>
      </c>
      <c r="E14" s="547" t="s">
        <v>1411</v>
      </c>
      <c r="F14" s="547" t="s">
        <v>1167</v>
      </c>
      <c r="G14" s="547" t="s">
        <v>1519</v>
      </c>
      <c r="H14" s="546" t="s">
        <v>116</v>
      </c>
      <c r="I14" s="546" t="s">
        <v>160</v>
      </c>
      <c r="J14" s="546" t="s">
        <v>104</v>
      </c>
      <c r="K14" s="546" t="s">
        <v>304</v>
      </c>
    </row>
    <row r="15" spans="1:11" x14ac:dyDescent="0.3">
      <c r="A15" s="546" t="s">
        <v>1165</v>
      </c>
      <c r="B15" s="547" t="s">
        <v>1056</v>
      </c>
      <c r="C15" s="546" t="s">
        <v>1162</v>
      </c>
      <c r="D15" s="546" t="s">
        <v>1394</v>
      </c>
      <c r="E15" s="547" t="s">
        <v>1559</v>
      </c>
      <c r="F15" s="547" t="s">
        <v>1165</v>
      </c>
      <c r="G15" s="547" t="s">
        <v>1520</v>
      </c>
      <c r="H15" s="546" t="s">
        <v>1411</v>
      </c>
      <c r="I15" s="546" t="s">
        <v>164</v>
      </c>
      <c r="J15" s="546" t="s">
        <v>111</v>
      </c>
      <c r="K15" s="546" t="s">
        <v>1597</v>
      </c>
    </row>
    <row r="16" spans="1:11" x14ac:dyDescent="0.3">
      <c r="A16" s="546" t="s">
        <v>1161</v>
      </c>
      <c r="B16" s="547" t="s">
        <v>1174</v>
      </c>
      <c r="C16" s="546" t="s">
        <v>1160</v>
      </c>
      <c r="D16" s="546" t="s">
        <v>1366</v>
      </c>
      <c r="E16" s="547" t="s">
        <v>1558</v>
      </c>
      <c r="F16" s="547" t="s">
        <v>1507</v>
      </c>
      <c r="G16" s="547" t="s">
        <v>1631</v>
      </c>
      <c r="H16" s="546" t="s">
        <v>143</v>
      </c>
      <c r="I16" s="546" t="s">
        <v>156</v>
      </c>
      <c r="J16" s="546" t="s">
        <v>1608</v>
      </c>
      <c r="K16" s="546" t="s">
        <v>211</v>
      </c>
    </row>
    <row r="17" spans="1:11" x14ac:dyDescent="0.3">
      <c r="A17" s="546" t="s">
        <v>1166</v>
      </c>
      <c r="B17" s="547" t="s">
        <v>1175</v>
      </c>
      <c r="C17" s="546" t="s">
        <v>1167</v>
      </c>
      <c r="D17" s="546" t="s">
        <v>1338</v>
      </c>
      <c r="E17" s="547" t="s">
        <v>1424</v>
      </c>
      <c r="F17" s="547" t="s">
        <v>1510</v>
      </c>
      <c r="G17" s="547" t="s">
        <v>1505</v>
      </c>
      <c r="H17" s="546" t="s">
        <v>302</v>
      </c>
      <c r="I17" s="546" t="s">
        <v>1059</v>
      </c>
      <c r="J17" s="546" t="s">
        <v>1763</v>
      </c>
      <c r="K17" s="546" t="s">
        <v>214</v>
      </c>
    </row>
    <row r="18" spans="1:11" x14ac:dyDescent="0.3">
      <c r="A18" s="546" t="s">
        <v>1063</v>
      </c>
      <c r="B18" s="547" t="s">
        <v>1173</v>
      </c>
      <c r="C18" s="546" t="s">
        <v>1163</v>
      </c>
      <c r="D18" s="546" t="s">
        <v>1108</v>
      </c>
      <c r="E18" s="547" t="s">
        <v>1415</v>
      </c>
      <c r="F18" s="547" t="s">
        <v>1512</v>
      </c>
      <c r="G18" s="547" t="s">
        <v>1513</v>
      </c>
      <c r="H18" s="546" t="s">
        <v>1424</v>
      </c>
      <c r="I18" s="546" t="s">
        <v>284</v>
      </c>
      <c r="J18" s="546" t="s">
        <v>259</v>
      </c>
      <c r="K18" s="546" t="s">
        <v>1598</v>
      </c>
    </row>
    <row r="19" spans="1:11" x14ac:dyDescent="0.3">
      <c r="A19" s="546" t="s">
        <v>1178</v>
      </c>
      <c r="B19" s="547" t="s">
        <v>1057</v>
      </c>
      <c r="C19" s="546" t="s">
        <v>1165</v>
      </c>
      <c r="D19" s="546" t="s">
        <v>1343</v>
      </c>
      <c r="E19" s="547" t="s">
        <v>1399</v>
      </c>
      <c r="F19" s="547" t="s">
        <v>1506</v>
      </c>
      <c r="G19" s="547" t="s">
        <v>1514</v>
      </c>
      <c r="H19" s="546" t="s">
        <v>1415</v>
      </c>
      <c r="I19" s="546" t="s">
        <v>296</v>
      </c>
      <c r="J19" s="546" t="s">
        <v>1632</v>
      </c>
      <c r="K19" s="546" t="s">
        <v>1585</v>
      </c>
    </row>
    <row r="20" spans="1:11" x14ac:dyDescent="0.3">
      <c r="A20" s="546" t="s">
        <v>1064</v>
      </c>
      <c r="B20" s="547" t="s">
        <v>1164</v>
      </c>
      <c r="C20" s="546" t="s">
        <v>1170</v>
      </c>
      <c r="D20" s="546" t="s">
        <v>1339</v>
      </c>
      <c r="E20" s="547" t="s">
        <v>1403</v>
      </c>
      <c r="F20" s="547" t="s">
        <v>1508</v>
      </c>
      <c r="G20" s="547" t="s">
        <v>1515</v>
      </c>
      <c r="H20" s="546" t="s">
        <v>1399</v>
      </c>
      <c r="I20" s="546" t="s">
        <v>291</v>
      </c>
      <c r="J20" s="546" t="s">
        <v>1504</v>
      </c>
      <c r="K20" s="546" t="s">
        <v>230</v>
      </c>
    </row>
    <row r="21" spans="1:11" x14ac:dyDescent="0.3">
      <c r="A21" s="546" t="s">
        <v>1144</v>
      </c>
      <c r="B21" s="547" t="s">
        <v>1162</v>
      </c>
      <c r="C21" s="546" t="s">
        <v>1161</v>
      </c>
      <c r="D21" s="546" t="s">
        <v>1345</v>
      </c>
      <c r="E21" s="547" t="s">
        <v>1541</v>
      </c>
      <c r="F21" s="547" t="s">
        <v>1394</v>
      </c>
      <c r="G21" s="547" t="s">
        <v>1522</v>
      </c>
      <c r="H21" s="546" t="s">
        <v>1403</v>
      </c>
      <c r="I21" s="546" t="s">
        <v>1062</v>
      </c>
      <c r="J21" s="546" t="s">
        <v>153</v>
      </c>
      <c r="K21" s="546" t="s">
        <v>233</v>
      </c>
    </row>
    <row r="22" spans="1:11" x14ac:dyDescent="0.3">
      <c r="A22" s="546" t="s">
        <v>1145</v>
      </c>
      <c r="B22" s="547" t="s">
        <v>1160</v>
      </c>
      <c r="C22" s="546" t="s">
        <v>1166</v>
      </c>
      <c r="D22" s="546" t="s">
        <v>1116</v>
      </c>
      <c r="E22" s="547" t="s">
        <v>1419</v>
      </c>
      <c r="F22" s="547" t="s">
        <v>1366</v>
      </c>
      <c r="G22" s="547" t="s">
        <v>1523</v>
      </c>
      <c r="H22" s="546" t="s">
        <v>1082</v>
      </c>
      <c r="I22" s="546" t="s">
        <v>1393</v>
      </c>
      <c r="J22" s="546" t="s">
        <v>149</v>
      </c>
      <c r="K22" s="546" t="s">
        <v>237</v>
      </c>
    </row>
    <row r="23" spans="1:11" x14ac:dyDescent="0.3">
      <c r="A23" s="546" t="s">
        <v>1143</v>
      </c>
      <c r="B23" s="547" t="s">
        <v>1167</v>
      </c>
      <c r="C23" s="546" t="s">
        <v>1171</v>
      </c>
      <c r="D23" s="546" t="s">
        <v>1346</v>
      </c>
      <c r="E23" s="547" t="s">
        <v>1569</v>
      </c>
      <c r="F23" s="547" t="s">
        <v>1493</v>
      </c>
      <c r="G23" s="547" t="s">
        <v>1178</v>
      </c>
      <c r="H23" s="546" t="s">
        <v>1419</v>
      </c>
      <c r="I23" s="546" t="s">
        <v>1365</v>
      </c>
      <c r="J23" s="546" t="s">
        <v>287</v>
      </c>
      <c r="K23" s="546" t="s">
        <v>241</v>
      </c>
    </row>
    <row r="24" spans="1:11" x14ac:dyDescent="0.3">
      <c r="A24" s="546" t="s">
        <v>1142</v>
      </c>
      <c r="B24" s="547" t="s">
        <v>1163</v>
      </c>
      <c r="C24" s="546" t="s">
        <v>1168</v>
      </c>
      <c r="D24" s="546" t="s">
        <v>1347</v>
      </c>
      <c r="E24" s="547" t="s">
        <v>1407</v>
      </c>
      <c r="F24" s="547" t="s">
        <v>1495</v>
      </c>
      <c r="G24" s="547" t="s">
        <v>1492</v>
      </c>
      <c r="H24" s="546" t="s">
        <v>226</v>
      </c>
      <c r="I24" s="546" t="s">
        <v>220</v>
      </c>
      <c r="J24" s="546" t="s">
        <v>1521</v>
      </c>
      <c r="K24" s="546" t="s">
        <v>243</v>
      </c>
    </row>
    <row r="25" spans="1:11" x14ac:dyDescent="0.3">
      <c r="A25" s="546" t="s">
        <v>1065</v>
      </c>
      <c r="B25" s="547" t="s">
        <v>1165</v>
      </c>
      <c r="C25" s="546" t="s">
        <v>1169</v>
      </c>
      <c r="D25" s="546" t="s">
        <v>1344</v>
      </c>
      <c r="E25" s="547" t="s">
        <v>1553</v>
      </c>
      <c r="F25" s="547" t="s">
        <v>1494</v>
      </c>
      <c r="G25" s="547" t="s">
        <v>1146</v>
      </c>
      <c r="H25" s="546" t="s">
        <v>1407</v>
      </c>
      <c r="I25" s="546" t="s">
        <v>224</v>
      </c>
      <c r="J25" s="546" t="s">
        <v>193</v>
      </c>
      <c r="K25" s="546" t="s">
        <v>247</v>
      </c>
    </row>
    <row r="26" spans="1:11" x14ac:dyDescent="0.3">
      <c r="A26" s="546" t="s">
        <v>119</v>
      </c>
      <c r="B26" s="547" t="s">
        <v>1170</v>
      </c>
      <c r="C26" s="546" t="s">
        <v>1392</v>
      </c>
      <c r="D26" s="546" t="s">
        <v>1340</v>
      </c>
      <c r="E26" s="547" t="s">
        <v>1551</v>
      </c>
      <c r="F26" s="547" t="s">
        <v>1625</v>
      </c>
      <c r="G26" s="547" t="s">
        <v>1496</v>
      </c>
      <c r="H26" s="546" t="s">
        <v>1552</v>
      </c>
      <c r="I26" s="546" t="s">
        <v>316</v>
      </c>
      <c r="J26" s="546" t="s">
        <v>196</v>
      </c>
      <c r="K26" s="546" t="s">
        <v>98</v>
      </c>
    </row>
    <row r="27" spans="1:11" x14ac:dyDescent="0.3">
      <c r="A27" s="546" t="s">
        <v>123</v>
      </c>
      <c r="B27" s="547" t="s">
        <v>1161</v>
      </c>
      <c r="C27" s="546" t="s">
        <v>1179</v>
      </c>
      <c r="D27" s="546" t="s">
        <v>1341</v>
      </c>
      <c r="E27" s="547" t="s">
        <v>1550</v>
      </c>
      <c r="F27" s="547" t="s">
        <v>1338</v>
      </c>
      <c r="G27" s="547" t="s">
        <v>1142</v>
      </c>
      <c r="H27" s="546" t="s">
        <v>1090</v>
      </c>
      <c r="I27" s="546" t="s">
        <v>1627</v>
      </c>
      <c r="J27" s="546" t="s">
        <v>1491</v>
      </c>
      <c r="K27" s="546" t="s">
        <v>102</v>
      </c>
    </row>
    <row r="28" spans="1:11" x14ac:dyDescent="0.3">
      <c r="A28" s="546" t="s">
        <v>1066</v>
      </c>
      <c r="B28" s="547" t="s">
        <v>1166</v>
      </c>
      <c r="C28" s="546" t="s">
        <v>1178</v>
      </c>
      <c r="D28" s="546" t="s">
        <v>1342</v>
      </c>
      <c r="E28" s="547" t="s">
        <v>1429</v>
      </c>
      <c r="F28" s="547" t="s">
        <v>1461</v>
      </c>
      <c r="G28" s="547" t="s">
        <v>1460</v>
      </c>
      <c r="H28" s="546" t="s">
        <v>1092</v>
      </c>
      <c r="I28" s="546" t="s">
        <v>1337</v>
      </c>
      <c r="J28" s="546" t="s">
        <v>216</v>
      </c>
      <c r="K28" s="546" t="s">
        <v>105</v>
      </c>
    </row>
    <row r="29" spans="1:11" x14ac:dyDescent="0.3">
      <c r="A29" s="546" t="s">
        <v>1137</v>
      </c>
      <c r="B29" s="547" t="s">
        <v>1171</v>
      </c>
      <c r="C29" s="546" t="s">
        <v>1364</v>
      </c>
      <c r="D29" s="546" t="s">
        <v>1362</v>
      </c>
      <c r="E29" s="547" t="s">
        <v>1576</v>
      </c>
      <c r="F29" s="547" t="s">
        <v>1462</v>
      </c>
      <c r="G29" s="547" t="s">
        <v>1476</v>
      </c>
      <c r="H29" s="546" t="s">
        <v>1429</v>
      </c>
      <c r="I29" s="546" t="s">
        <v>119</v>
      </c>
      <c r="J29" s="546" t="s">
        <v>228</v>
      </c>
      <c r="K29" s="546" t="s">
        <v>108</v>
      </c>
    </row>
    <row r="30" spans="1:11" x14ac:dyDescent="0.3">
      <c r="A30" s="546" t="s">
        <v>1133</v>
      </c>
      <c r="B30" s="547" t="s">
        <v>1168</v>
      </c>
      <c r="C30" s="546" t="s">
        <v>1146</v>
      </c>
      <c r="D30" s="546" t="s">
        <v>1310</v>
      </c>
      <c r="E30" s="547" t="s">
        <v>1277</v>
      </c>
      <c r="F30" s="547" t="s">
        <v>1482</v>
      </c>
      <c r="G30" s="547" t="s">
        <v>1106</v>
      </c>
      <c r="H30" s="546" t="s">
        <v>280</v>
      </c>
      <c r="I30" s="546" t="s">
        <v>123</v>
      </c>
      <c r="J30" s="546" t="s">
        <v>313</v>
      </c>
      <c r="K30" s="546" t="s">
        <v>161</v>
      </c>
    </row>
    <row r="31" spans="1:11" x14ac:dyDescent="0.3">
      <c r="A31" s="546" t="s">
        <v>1136</v>
      </c>
      <c r="B31" s="547" t="s">
        <v>1169</v>
      </c>
      <c r="C31" s="546" t="s">
        <v>1147</v>
      </c>
      <c r="D31" s="546" t="s">
        <v>1318</v>
      </c>
      <c r="E31" s="547" t="s">
        <v>1395</v>
      </c>
      <c r="F31" s="547" t="s">
        <v>1488</v>
      </c>
      <c r="G31" s="547" t="s">
        <v>1475</v>
      </c>
      <c r="H31" s="546" t="s">
        <v>361</v>
      </c>
      <c r="I31" s="546" t="s">
        <v>1361</v>
      </c>
      <c r="J31" s="546" t="s">
        <v>1459</v>
      </c>
      <c r="K31" s="546" t="s">
        <v>131</v>
      </c>
    </row>
    <row r="32" spans="1:11" x14ac:dyDescent="0.3">
      <c r="A32" s="546" t="s">
        <v>1139</v>
      </c>
      <c r="B32" s="547" t="s">
        <v>1063</v>
      </c>
      <c r="C32" s="546" t="s">
        <v>1144</v>
      </c>
      <c r="D32" s="546" t="s">
        <v>1317</v>
      </c>
      <c r="E32" s="547" t="s">
        <v>1529</v>
      </c>
      <c r="F32" s="547" t="s">
        <v>1485</v>
      </c>
      <c r="G32" s="547" t="s">
        <v>1470</v>
      </c>
      <c r="H32" s="546" t="s">
        <v>1395</v>
      </c>
      <c r="I32" s="546" t="s">
        <v>1067</v>
      </c>
      <c r="J32" s="546" t="s">
        <v>112</v>
      </c>
      <c r="K32" s="546" t="s">
        <v>135</v>
      </c>
    </row>
    <row r="33" spans="1:11" x14ac:dyDescent="0.3">
      <c r="A33" s="546" t="s">
        <v>1141</v>
      </c>
      <c r="B33" s="547" t="s">
        <v>1179</v>
      </c>
      <c r="C33" s="546" t="s">
        <v>1145</v>
      </c>
      <c r="D33" s="546" t="s">
        <v>1311</v>
      </c>
      <c r="E33" s="547" t="s">
        <v>1528</v>
      </c>
      <c r="F33" s="547" t="s">
        <v>1487</v>
      </c>
      <c r="G33" s="547" t="s">
        <v>1111</v>
      </c>
      <c r="H33" s="546" t="s">
        <v>1189</v>
      </c>
      <c r="I33" s="546" t="s">
        <v>194</v>
      </c>
      <c r="J33" s="546" t="s">
        <v>115</v>
      </c>
      <c r="K33" s="546" t="s">
        <v>146</v>
      </c>
    </row>
    <row r="34" spans="1:11" x14ac:dyDescent="0.3">
      <c r="A34" s="546" t="s">
        <v>1134</v>
      </c>
      <c r="B34" s="547" t="s">
        <v>1178</v>
      </c>
      <c r="C34" s="546" t="s">
        <v>1143</v>
      </c>
      <c r="D34" s="546" t="s">
        <v>1316</v>
      </c>
      <c r="E34" s="547" t="s">
        <v>1733</v>
      </c>
      <c r="F34" s="547" t="s">
        <v>1489</v>
      </c>
      <c r="G34" s="547" t="s">
        <v>1464</v>
      </c>
      <c r="H34" s="546" t="s">
        <v>293</v>
      </c>
      <c r="I34" s="546" t="s">
        <v>1135</v>
      </c>
      <c r="J34" s="546" t="s">
        <v>1728</v>
      </c>
      <c r="K34" s="546" t="s">
        <v>150</v>
      </c>
    </row>
    <row r="35" spans="1:11" x14ac:dyDescent="0.3">
      <c r="A35" s="546" t="s">
        <v>1069</v>
      </c>
      <c r="B35" s="547" t="s">
        <v>1064</v>
      </c>
      <c r="C35" s="546" t="s">
        <v>1142</v>
      </c>
      <c r="D35" s="546" t="s">
        <v>1314</v>
      </c>
      <c r="E35" s="547" t="s">
        <v>1433</v>
      </c>
      <c r="F35" s="547" t="s">
        <v>1690</v>
      </c>
      <c r="G35" s="547" t="s">
        <v>1471</v>
      </c>
      <c r="H35" s="546" t="s">
        <v>1526</v>
      </c>
      <c r="I35" s="546" t="s">
        <v>1140</v>
      </c>
      <c r="J35" s="546" t="s">
        <v>157</v>
      </c>
      <c r="K35" s="546" t="s">
        <v>165</v>
      </c>
    </row>
    <row r="36" spans="1:11" x14ac:dyDescent="0.3">
      <c r="A36" s="546" t="s">
        <v>215</v>
      </c>
      <c r="B36" s="547" t="s">
        <v>1146</v>
      </c>
      <c r="C36" s="546" t="s">
        <v>1626</v>
      </c>
      <c r="D36" s="546" t="s">
        <v>1319</v>
      </c>
      <c r="E36" s="547" t="s">
        <v>1659</v>
      </c>
      <c r="F36" s="547" t="s">
        <v>1486</v>
      </c>
      <c r="G36" s="547" t="s">
        <v>1468</v>
      </c>
      <c r="H36" s="546" t="s">
        <v>1433</v>
      </c>
      <c r="I36" s="546" t="s">
        <v>253</v>
      </c>
      <c r="J36" s="546" t="s">
        <v>127</v>
      </c>
      <c r="K36" s="546" t="s">
        <v>318</v>
      </c>
    </row>
    <row r="37" spans="1:11" x14ac:dyDescent="0.3">
      <c r="A37" s="546" t="s">
        <v>212</v>
      </c>
      <c r="B37" s="547" t="s">
        <v>1147</v>
      </c>
      <c r="C37" s="546" t="s">
        <v>1336</v>
      </c>
      <c r="D37" s="546" t="s">
        <v>1315</v>
      </c>
      <c r="E37" s="547" t="s">
        <v>1664</v>
      </c>
      <c r="F37" s="547" t="s">
        <v>1310</v>
      </c>
      <c r="G37" s="547" t="s">
        <v>1469</v>
      </c>
      <c r="H37" s="546" t="s">
        <v>1660</v>
      </c>
      <c r="I37" s="546" t="s">
        <v>1636</v>
      </c>
      <c r="J37" s="546" t="s">
        <v>138</v>
      </c>
      <c r="K37" s="546" t="s">
        <v>321</v>
      </c>
    </row>
    <row r="38" spans="1:11" x14ac:dyDescent="0.3">
      <c r="A38" s="546" t="s">
        <v>225</v>
      </c>
      <c r="B38" s="547" t="s">
        <v>1144</v>
      </c>
      <c r="C38" s="546" t="s">
        <v>1348</v>
      </c>
      <c r="D38" s="546" t="s">
        <v>1321</v>
      </c>
      <c r="E38" s="547" t="s">
        <v>1669</v>
      </c>
      <c r="F38" s="547" t="s">
        <v>1450</v>
      </c>
      <c r="G38" s="547" t="s">
        <v>1473</v>
      </c>
      <c r="H38" s="546" t="s">
        <v>1665</v>
      </c>
      <c r="I38" s="546" t="s">
        <v>1592</v>
      </c>
      <c r="J38" s="546" t="s">
        <v>142</v>
      </c>
      <c r="K38" s="546" t="s">
        <v>324</v>
      </c>
    </row>
    <row r="39" spans="1:11" x14ac:dyDescent="0.3">
      <c r="A39" s="546" t="s">
        <v>229</v>
      </c>
      <c r="B39" s="547" t="s">
        <v>1145</v>
      </c>
      <c r="C39" s="546" t="s">
        <v>1106</v>
      </c>
      <c r="D39" s="546" t="s">
        <v>1313</v>
      </c>
      <c r="E39" s="547" t="s">
        <v>1376</v>
      </c>
      <c r="F39" s="547" t="s">
        <v>1446</v>
      </c>
      <c r="G39" s="547" t="s">
        <v>1467</v>
      </c>
      <c r="H39" s="546" t="s">
        <v>1098</v>
      </c>
      <c r="I39" s="546" t="s">
        <v>1309</v>
      </c>
      <c r="J39" s="546" t="s">
        <v>169</v>
      </c>
      <c r="K39" s="546" t="s">
        <v>327</v>
      </c>
    </row>
    <row r="40" spans="1:11" x14ac:dyDescent="0.3">
      <c r="A40" s="546" t="s">
        <v>260</v>
      </c>
      <c r="B40" s="547" t="s">
        <v>1143</v>
      </c>
      <c r="C40" s="546" t="s">
        <v>119</v>
      </c>
      <c r="D40" s="546" t="s">
        <v>1322</v>
      </c>
      <c r="F40" s="547" t="s">
        <v>1449</v>
      </c>
      <c r="G40" s="547" t="s">
        <v>1472</v>
      </c>
      <c r="H40" s="546" t="s">
        <v>1666</v>
      </c>
      <c r="I40" s="546" t="s">
        <v>217</v>
      </c>
      <c r="J40" s="546" t="s">
        <v>154</v>
      </c>
      <c r="K40" s="546" t="s">
        <v>343</v>
      </c>
    </row>
    <row r="41" spans="1:11" x14ac:dyDescent="0.3">
      <c r="A41" s="546" t="s">
        <v>1103</v>
      </c>
      <c r="B41" s="547" t="s">
        <v>1142</v>
      </c>
      <c r="C41" s="546" t="s">
        <v>1117</v>
      </c>
      <c r="D41" s="546" t="s">
        <v>1312</v>
      </c>
      <c r="F41" s="547" t="s">
        <v>1447</v>
      </c>
      <c r="G41" s="547" t="s">
        <v>1465</v>
      </c>
      <c r="I41" s="546" t="s">
        <v>215</v>
      </c>
      <c r="J41" s="546" t="s">
        <v>173</v>
      </c>
      <c r="K41" s="546" t="s">
        <v>350</v>
      </c>
    </row>
    <row r="42" spans="1:11" x14ac:dyDescent="0.3">
      <c r="A42" s="546" t="s">
        <v>1333</v>
      </c>
      <c r="B42" s="547" t="s">
        <v>1065</v>
      </c>
      <c r="C42" s="546" t="s">
        <v>123</v>
      </c>
      <c r="D42" s="546" t="s">
        <v>1370</v>
      </c>
      <c r="F42" s="547" t="s">
        <v>1445</v>
      </c>
      <c r="G42" s="547" t="s">
        <v>1466</v>
      </c>
      <c r="I42" s="546" t="s">
        <v>221</v>
      </c>
      <c r="J42" s="546" t="s">
        <v>1586</v>
      </c>
      <c r="K42" s="546" t="s">
        <v>357</v>
      </c>
    </row>
    <row r="43" spans="1:11" x14ac:dyDescent="0.3">
      <c r="A43" s="546" t="s">
        <v>1072</v>
      </c>
      <c r="B43" s="547" t="s">
        <v>1107</v>
      </c>
      <c r="C43" s="546" t="s">
        <v>1349</v>
      </c>
      <c r="D43" s="546" t="s">
        <v>1152</v>
      </c>
      <c r="F43" s="547" t="s">
        <v>1444</v>
      </c>
      <c r="G43" s="547" t="s">
        <v>1474</v>
      </c>
      <c r="I43" s="546" t="s">
        <v>212</v>
      </c>
      <c r="J43" s="546" t="s">
        <v>333</v>
      </c>
      <c r="K43" s="546" t="s">
        <v>363</v>
      </c>
    </row>
    <row r="44" spans="1:11" x14ac:dyDescent="0.3">
      <c r="A44" s="546" t="s">
        <v>1150</v>
      </c>
      <c r="B44" s="547" t="s">
        <v>1106</v>
      </c>
      <c r="C44" s="546" t="s">
        <v>1350</v>
      </c>
      <c r="D44" s="546" t="s">
        <v>1374</v>
      </c>
      <c r="F44" s="547" t="s">
        <v>1448</v>
      </c>
      <c r="G44" s="547" t="s">
        <v>1115</v>
      </c>
      <c r="I44" s="546" t="s">
        <v>260</v>
      </c>
      <c r="J44" s="546" t="s">
        <v>369</v>
      </c>
      <c r="K44" s="546" t="s">
        <v>366</v>
      </c>
    </row>
    <row r="45" spans="1:11" x14ac:dyDescent="0.3">
      <c r="A45" s="546" t="s">
        <v>1151</v>
      </c>
      <c r="B45" s="547" t="s">
        <v>119</v>
      </c>
      <c r="C45" s="546" t="s">
        <v>1360</v>
      </c>
      <c r="D45" s="546" t="s">
        <v>1372</v>
      </c>
      <c r="F45" s="547" t="s">
        <v>1331</v>
      </c>
      <c r="G45" s="547" t="s">
        <v>1484</v>
      </c>
      <c r="I45" s="546" t="s">
        <v>264</v>
      </c>
      <c r="J45" s="546" t="s">
        <v>336</v>
      </c>
      <c r="K45" s="546" t="s">
        <v>371</v>
      </c>
    </row>
    <row r="46" spans="1:11" x14ac:dyDescent="0.3">
      <c r="A46" s="546" t="s">
        <v>1073</v>
      </c>
      <c r="B46" s="547" t="s">
        <v>1117</v>
      </c>
      <c r="C46" s="546" t="s">
        <v>1137</v>
      </c>
      <c r="D46" s="546" t="s">
        <v>1373</v>
      </c>
      <c r="F46" s="547" t="s">
        <v>1443</v>
      </c>
      <c r="G46" s="547" t="s">
        <v>1441</v>
      </c>
      <c r="I46" s="546" t="s">
        <v>275</v>
      </c>
      <c r="J46" s="546" t="s">
        <v>346</v>
      </c>
      <c r="K46" s="546" t="s">
        <v>770</v>
      </c>
    </row>
    <row r="47" spans="1:11" x14ac:dyDescent="0.3">
      <c r="A47" s="546" t="s">
        <v>143</v>
      </c>
      <c r="B47" s="547" t="s">
        <v>123</v>
      </c>
      <c r="C47" s="546" t="s">
        <v>1133</v>
      </c>
      <c r="D47" s="546" t="s">
        <v>1371</v>
      </c>
      <c r="F47" s="547" t="s">
        <v>1312</v>
      </c>
      <c r="G47" s="547" t="s">
        <v>1458</v>
      </c>
      <c r="I47" s="546" t="s">
        <v>268</v>
      </c>
      <c r="J47" s="546" t="s">
        <v>353</v>
      </c>
      <c r="K47" s="546" t="s">
        <v>339</v>
      </c>
    </row>
    <row r="48" spans="1:11" x14ac:dyDescent="0.3">
      <c r="A48" s="546" t="s">
        <v>1249</v>
      </c>
      <c r="B48" s="547" t="s">
        <v>1108</v>
      </c>
      <c r="C48" s="546" t="s">
        <v>1136</v>
      </c>
      <c r="D48" s="546" t="s">
        <v>1414</v>
      </c>
      <c r="F48" s="547" t="s">
        <v>1370</v>
      </c>
      <c r="G48" s="547" t="s">
        <v>1457</v>
      </c>
      <c r="I48" s="546" t="s">
        <v>1070</v>
      </c>
      <c r="J48" s="546" t="s">
        <v>330</v>
      </c>
      <c r="K48" s="546" t="s">
        <v>341</v>
      </c>
    </row>
    <row r="49" spans="1:11" x14ac:dyDescent="0.3">
      <c r="A49" s="546" t="s">
        <v>1251</v>
      </c>
      <c r="B49" s="547" t="s">
        <v>1111</v>
      </c>
      <c r="C49" s="546" t="s">
        <v>1139</v>
      </c>
      <c r="D49" s="546" t="s">
        <v>1427</v>
      </c>
      <c r="F49" s="547" t="s">
        <v>1499</v>
      </c>
      <c r="G49" s="547" t="s">
        <v>1451</v>
      </c>
      <c r="I49" s="546" t="s">
        <v>271</v>
      </c>
      <c r="J49" s="546" t="s">
        <v>771</v>
      </c>
      <c r="K49" s="546" t="s">
        <v>1590</v>
      </c>
    </row>
    <row r="50" spans="1:11" x14ac:dyDescent="0.3">
      <c r="A50" s="546" t="s">
        <v>302</v>
      </c>
      <c r="B50" s="547" t="s">
        <v>1114</v>
      </c>
      <c r="C50" s="546" t="s">
        <v>1141</v>
      </c>
      <c r="D50" s="546" t="s">
        <v>1418</v>
      </c>
      <c r="F50" s="547" t="s">
        <v>1500</v>
      </c>
      <c r="G50" s="547" t="s">
        <v>1456</v>
      </c>
      <c r="I50" s="546" t="s">
        <v>1369</v>
      </c>
      <c r="J50" s="546" t="s">
        <v>1587</v>
      </c>
      <c r="K50" s="546" t="s">
        <v>1593</v>
      </c>
    </row>
    <row r="51" spans="1:11" x14ac:dyDescent="0.3">
      <c r="A51" s="546" t="s">
        <v>1076</v>
      </c>
      <c r="B51" s="547" t="s">
        <v>1116</v>
      </c>
      <c r="C51" s="546" t="s">
        <v>1134</v>
      </c>
      <c r="D51" s="546" t="s">
        <v>1402</v>
      </c>
      <c r="F51" s="547" t="s">
        <v>1159</v>
      </c>
      <c r="G51" s="547" t="s">
        <v>1455</v>
      </c>
      <c r="I51" s="546" t="s">
        <v>109</v>
      </c>
      <c r="J51" s="546" t="s">
        <v>1483</v>
      </c>
      <c r="K51" s="546" t="s">
        <v>1594</v>
      </c>
    </row>
    <row r="52" spans="1:11" x14ac:dyDescent="0.3">
      <c r="A52" s="546" t="s">
        <v>1272</v>
      </c>
      <c r="B52" s="547" t="s">
        <v>1105</v>
      </c>
      <c r="C52" s="546" t="s">
        <v>1308</v>
      </c>
      <c r="D52" s="546" t="s">
        <v>1406</v>
      </c>
      <c r="F52" s="547" t="s">
        <v>1413</v>
      </c>
      <c r="G52" s="547" t="s">
        <v>1319</v>
      </c>
      <c r="I52" s="546" t="s">
        <v>128</v>
      </c>
      <c r="J52" s="546" t="s">
        <v>1440</v>
      </c>
      <c r="K52" s="546" t="s">
        <v>1595</v>
      </c>
    </row>
    <row r="53" spans="1:11" x14ac:dyDescent="0.3">
      <c r="A53" s="546" t="s">
        <v>1077</v>
      </c>
      <c r="B53" s="547" t="s">
        <v>1109</v>
      </c>
      <c r="C53" s="546" t="s">
        <v>1323</v>
      </c>
      <c r="D53" s="546" t="s">
        <v>1422</v>
      </c>
      <c r="F53" s="547" t="s">
        <v>1560</v>
      </c>
      <c r="G53" s="547" t="s">
        <v>1315</v>
      </c>
      <c r="I53" s="546" t="s">
        <v>295</v>
      </c>
      <c r="J53" s="546" t="s">
        <v>200</v>
      </c>
      <c r="K53" s="546" t="s">
        <v>1596</v>
      </c>
    </row>
    <row r="54" spans="1:11" x14ac:dyDescent="0.3">
      <c r="A54" s="546" t="s">
        <v>162</v>
      </c>
      <c r="B54" s="547" t="s">
        <v>1112</v>
      </c>
      <c r="C54" s="546" t="s">
        <v>1324</v>
      </c>
      <c r="D54" s="546" t="s">
        <v>1410</v>
      </c>
      <c r="F54" s="547" t="s">
        <v>1561</v>
      </c>
      <c r="G54" s="547" t="s">
        <v>1453</v>
      </c>
      <c r="I54" s="546" t="s">
        <v>1413</v>
      </c>
      <c r="J54" s="546" t="s">
        <v>234</v>
      </c>
      <c r="K54" s="546" t="s">
        <v>1584</v>
      </c>
    </row>
    <row r="55" spans="1:11" x14ac:dyDescent="0.3">
      <c r="A55" s="546" t="s">
        <v>166</v>
      </c>
      <c r="B55" s="547" t="s">
        <v>1113</v>
      </c>
      <c r="C55" s="546" t="s">
        <v>1325</v>
      </c>
      <c r="D55" s="546" t="s">
        <v>1432</v>
      </c>
      <c r="F55" s="547" t="s">
        <v>1562</v>
      </c>
      <c r="G55" s="547" t="s">
        <v>1454</v>
      </c>
      <c r="I55" s="546" t="s">
        <v>139</v>
      </c>
      <c r="J55" s="546" t="s">
        <v>204</v>
      </c>
      <c r="K55" s="546" t="s">
        <v>1599</v>
      </c>
    </row>
    <row r="56" spans="1:11" x14ac:dyDescent="0.3">
      <c r="A56" s="546" t="s">
        <v>1256</v>
      </c>
      <c r="B56" s="547" t="s">
        <v>1104</v>
      </c>
      <c r="C56" s="546" t="s">
        <v>1326</v>
      </c>
      <c r="D56" s="546" t="s">
        <v>1398</v>
      </c>
      <c r="F56" s="547" t="s">
        <v>1563</v>
      </c>
      <c r="G56" s="547" t="s">
        <v>1452</v>
      </c>
      <c r="I56" s="546" t="s">
        <v>1248</v>
      </c>
      <c r="J56" s="546" t="s">
        <v>207</v>
      </c>
      <c r="K56" s="546" t="s">
        <v>1600</v>
      </c>
    </row>
    <row r="57" spans="1:11" x14ac:dyDescent="0.3">
      <c r="A57" s="546" t="s">
        <v>1258</v>
      </c>
      <c r="B57" s="547" t="s">
        <v>1115</v>
      </c>
      <c r="C57" s="546" t="s">
        <v>1327</v>
      </c>
      <c r="D57" s="546" t="s">
        <v>1436</v>
      </c>
      <c r="F57" s="547" t="s">
        <v>1426</v>
      </c>
      <c r="G57" s="547" t="s">
        <v>1498</v>
      </c>
      <c r="I57" s="546" t="s">
        <v>1250</v>
      </c>
      <c r="J57" s="546" t="s">
        <v>209</v>
      </c>
      <c r="K57" s="546" t="s">
        <v>1601</v>
      </c>
    </row>
    <row r="58" spans="1:11" x14ac:dyDescent="0.3">
      <c r="A58" s="546" t="s">
        <v>1259</v>
      </c>
      <c r="B58" s="547" t="s">
        <v>1066</v>
      </c>
      <c r="C58" s="546" t="s">
        <v>1328</v>
      </c>
      <c r="D58" s="546" t="s">
        <v>1670</v>
      </c>
      <c r="F58" s="547" t="s">
        <v>147</v>
      </c>
      <c r="G58" s="547" t="s">
        <v>1152</v>
      </c>
      <c r="I58" s="546" t="s">
        <v>299</v>
      </c>
      <c r="J58" s="546" t="s">
        <v>238</v>
      </c>
      <c r="K58" s="546" t="s">
        <v>1732</v>
      </c>
    </row>
    <row r="59" spans="1:11" x14ac:dyDescent="0.3">
      <c r="A59" s="546" t="s">
        <v>1079</v>
      </c>
      <c r="B59" s="547" t="s">
        <v>1137</v>
      </c>
      <c r="C59" s="546" t="s">
        <v>1329</v>
      </c>
      <c r="D59" s="546" t="s">
        <v>1110</v>
      </c>
      <c r="F59" s="547" t="s">
        <v>151</v>
      </c>
      <c r="G59" s="547" t="s">
        <v>1503</v>
      </c>
      <c r="I59" s="546" t="s">
        <v>1426</v>
      </c>
      <c r="J59" s="546" t="s">
        <v>231</v>
      </c>
      <c r="K59" s="546" t="s">
        <v>1602</v>
      </c>
    </row>
    <row r="60" spans="1:11" x14ac:dyDescent="0.3">
      <c r="A60" s="546" t="s">
        <v>1199</v>
      </c>
      <c r="B60" s="547" t="s">
        <v>1133</v>
      </c>
      <c r="C60" s="546" t="s">
        <v>1330</v>
      </c>
      <c r="D60" s="546" t="s">
        <v>276</v>
      </c>
      <c r="F60" s="547" t="s">
        <v>155</v>
      </c>
      <c r="G60" s="547" t="s">
        <v>1157</v>
      </c>
      <c r="I60" s="546" t="s">
        <v>147</v>
      </c>
      <c r="J60" s="546" t="s">
        <v>663</v>
      </c>
      <c r="K60" s="546" t="s">
        <v>1603</v>
      </c>
    </row>
    <row r="61" spans="1:11" x14ac:dyDescent="0.3">
      <c r="A61" s="546" t="s">
        <v>1207</v>
      </c>
      <c r="B61" s="547" t="s">
        <v>1136</v>
      </c>
      <c r="C61" s="546" t="s">
        <v>1320</v>
      </c>
      <c r="F61" s="547" t="s">
        <v>305</v>
      </c>
      <c r="G61" s="547" t="s">
        <v>1502</v>
      </c>
      <c r="I61" s="546" t="s">
        <v>151</v>
      </c>
      <c r="J61" s="546" t="s">
        <v>256</v>
      </c>
      <c r="K61" s="546" t="s">
        <v>1604</v>
      </c>
    </row>
    <row r="62" spans="1:11" x14ac:dyDescent="0.3">
      <c r="A62" s="546" t="s">
        <v>1202</v>
      </c>
      <c r="B62" s="547" t="s">
        <v>1139</v>
      </c>
      <c r="C62" s="546" t="s">
        <v>1332</v>
      </c>
      <c r="F62" s="547" t="s">
        <v>1417</v>
      </c>
      <c r="G62" s="547" t="s">
        <v>1373</v>
      </c>
      <c r="I62" s="546" t="s">
        <v>155</v>
      </c>
      <c r="J62" s="546" t="s">
        <v>278</v>
      </c>
      <c r="K62" s="546" t="s">
        <v>1556</v>
      </c>
    </row>
    <row r="63" spans="1:11" x14ac:dyDescent="0.3">
      <c r="A63" s="546" t="s">
        <v>1204</v>
      </c>
      <c r="B63" s="547" t="s">
        <v>1141</v>
      </c>
      <c r="C63" s="546" t="s">
        <v>1333</v>
      </c>
      <c r="F63" s="547" t="s">
        <v>158</v>
      </c>
      <c r="G63" s="547" t="s">
        <v>1155</v>
      </c>
      <c r="I63" s="546" t="s">
        <v>305</v>
      </c>
      <c r="J63" s="546" t="s">
        <v>1497</v>
      </c>
      <c r="K63" s="546" t="s">
        <v>1622</v>
      </c>
    </row>
    <row r="64" spans="1:11" x14ac:dyDescent="0.3">
      <c r="A64" s="546" t="s">
        <v>1201</v>
      </c>
      <c r="B64" s="547" t="s">
        <v>1134</v>
      </c>
      <c r="C64" s="546" t="s">
        <v>1764</v>
      </c>
      <c r="F64" s="547" t="s">
        <v>162</v>
      </c>
      <c r="G64" s="547" t="s">
        <v>1501</v>
      </c>
      <c r="I64" s="546" t="s">
        <v>1417</v>
      </c>
      <c r="J64" s="546" t="s">
        <v>113</v>
      </c>
      <c r="K64" s="546" t="s">
        <v>1620</v>
      </c>
    </row>
    <row r="65" spans="1:11" x14ac:dyDescent="0.3">
      <c r="A65" s="546" t="s">
        <v>1206</v>
      </c>
      <c r="B65" s="547" t="s">
        <v>1069</v>
      </c>
      <c r="C65" s="546" t="s">
        <v>1368</v>
      </c>
      <c r="F65" s="547" t="s">
        <v>166</v>
      </c>
      <c r="G65" s="547" t="s">
        <v>1557</v>
      </c>
      <c r="I65" s="546" t="s">
        <v>158</v>
      </c>
      <c r="J65" s="546" t="s">
        <v>120</v>
      </c>
      <c r="K65" s="546" t="s">
        <v>1614</v>
      </c>
    </row>
    <row r="66" spans="1:11" x14ac:dyDescent="0.3">
      <c r="A66" s="546" t="s">
        <v>1211</v>
      </c>
      <c r="B66" s="547" t="s">
        <v>200</v>
      </c>
      <c r="C66" s="546" t="s">
        <v>1150</v>
      </c>
      <c r="F66" s="547" t="s">
        <v>1255</v>
      </c>
      <c r="G66" s="547" t="s">
        <v>1571</v>
      </c>
      <c r="I66" s="546" t="s">
        <v>162</v>
      </c>
      <c r="J66" s="546" t="s">
        <v>124</v>
      </c>
      <c r="K66" s="546" t="s">
        <v>1617</v>
      </c>
    </row>
    <row r="67" spans="1:11" x14ac:dyDescent="0.3">
      <c r="A67" s="546" t="s">
        <v>1209</v>
      </c>
      <c r="B67" s="547" t="s">
        <v>234</v>
      </c>
      <c r="C67" s="546" t="s">
        <v>1157</v>
      </c>
      <c r="F67" s="547" t="s">
        <v>1257</v>
      </c>
      <c r="G67" s="547" t="s">
        <v>1565</v>
      </c>
      <c r="I67" s="546" t="s">
        <v>166</v>
      </c>
      <c r="J67" s="546" t="s">
        <v>132</v>
      </c>
      <c r="K67" s="546" t="s">
        <v>1621</v>
      </c>
    </row>
    <row r="68" spans="1:11" x14ac:dyDescent="0.3">
      <c r="A68" s="546" t="s">
        <v>1212</v>
      </c>
      <c r="B68" s="547" t="s">
        <v>204</v>
      </c>
      <c r="C68" s="546" t="s">
        <v>1158</v>
      </c>
      <c r="F68" s="547" t="s">
        <v>1566</v>
      </c>
      <c r="G68" s="547" t="s">
        <v>1536</v>
      </c>
      <c r="I68" s="546" t="s">
        <v>1255</v>
      </c>
      <c r="J68" s="546" t="s">
        <v>285</v>
      </c>
      <c r="K68" s="546" t="s">
        <v>1619</v>
      </c>
    </row>
    <row r="69" spans="1:11" x14ac:dyDescent="0.3">
      <c r="A69" s="546" t="s">
        <v>1080</v>
      </c>
      <c r="B69" s="547" t="s">
        <v>207</v>
      </c>
      <c r="C69" s="546" t="s">
        <v>1377</v>
      </c>
      <c r="F69" s="547" t="s">
        <v>309</v>
      </c>
      <c r="G69" s="547" t="s">
        <v>1540</v>
      </c>
      <c r="I69" s="546" t="s">
        <v>1257</v>
      </c>
      <c r="J69" s="546" t="s">
        <v>292</v>
      </c>
      <c r="K69" s="546" t="s">
        <v>1623</v>
      </c>
    </row>
    <row r="70" spans="1:11" x14ac:dyDescent="0.3">
      <c r="A70" s="546" t="s">
        <v>1218</v>
      </c>
      <c r="B70" s="547" t="s">
        <v>209</v>
      </c>
      <c r="C70" s="546" t="s">
        <v>1155</v>
      </c>
      <c r="F70" s="547" t="s">
        <v>1260</v>
      </c>
      <c r="G70" s="547" t="s">
        <v>1568</v>
      </c>
      <c r="I70" s="546" t="s">
        <v>1078</v>
      </c>
      <c r="J70" s="546" t="s">
        <v>297</v>
      </c>
      <c r="K70" s="546" t="s">
        <v>1612</v>
      </c>
    </row>
    <row r="71" spans="1:11" x14ac:dyDescent="0.3">
      <c r="A71" s="546" t="s">
        <v>1224</v>
      </c>
      <c r="B71" s="547" t="s">
        <v>217</v>
      </c>
      <c r="C71" s="546" t="s">
        <v>1375</v>
      </c>
      <c r="F71" s="547" t="s">
        <v>1401</v>
      </c>
      <c r="G71" s="547" t="s">
        <v>1549</v>
      </c>
      <c r="I71" s="546" t="s">
        <v>309</v>
      </c>
      <c r="J71" s="546" t="s">
        <v>1556</v>
      </c>
      <c r="K71" s="546" t="s">
        <v>1624</v>
      </c>
    </row>
    <row r="72" spans="1:11" x14ac:dyDescent="0.3">
      <c r="A72" s="546" t="s">
        <v>1226</v>
      </c>
      <c r="B72" s="547" t="s">
        <v>215</v>
      </c>
      <c r="C72" s="546" t="s">
        <v>1412</v>
      </c>
      <c r="F72" s="547" t="s">
        <v>170</v>
      </c>
      <c r="G72" s="547" t="s">
        <v>1574</v>
      </c>
      <c r="I72" s="546" t="s">
        <v>1260</v>
      </c>
      <c r="J72" s="546" t="s">
        <v>1570</v>
      </c>
    </row>
    <row r="73" spans="1:11" x14ac:dyDescent="0.3">
      <c r="A73" s="546" t="s">
        <v>1225</v>
      </c>
      <c r="B73" s="547" t="s">
        <v>221</v>
      </c>
      <c r="C73" s="546" t="s">
        <v>1254</v>
      </c>
      <c r="F73" s="547" t="s">
        <v>175</v>
      </c>
      <c r="G73" s="547" t="s">
        <v>1525</v>
      </c>
      <c r="I73" s="546" t="s">
        <v>1401</v>
      </c>
      <c r="J73" s="546" t="s">
        <v>1564</v>
      </c>
    </row>
    <row r="74" spans="1:11" x14ac:dyDescent="0.3">
      <c r="A74" s="546" t="s">
        <v>1220</v>
      </c>
      <c r="B74" s="547" t="s">
        <v>212</v>
      </c>
      <c r="C74" s="546" t="s">
        <v>143</v>
      </c>
      <c r="F74" s="547" t="s">
        <v>179</v>
      </c>
      <c r="G74" s="547" t="s">
        <v>1578</v>
      </c>
      <c r="I74" s="546" t="s">
        <v>170</v>
      </c>
      <c r="J74" s="546" t="s">
        <v>1535</v>
      </c>
    </row>
    <row r="75" spans="1:11" x14ac:dyDescent="0.3">
      <c r="A75" s="546" t="s">
        <v>1227</v>
      </c>
      <c r="B75" s="547" t="s">
        <v>225</v>
      </c>
      <c r="C75" s="546" t="s">
        <v>1249</v>
      </c>
      <c r="F75" s="547" t="s">
        <v>186</v>
      </c>
      <c r="G75" s="547" t="s">
        <v>1670</v>
      </c>
      <c r="I75" s="546" t="s">
        <v>175</v>
      </c>
      <c r="J75" s="546" t="s">
        <v>1539</v>
      </c>
    </row>
    <row r="76" spans="1:11" x14ac:dyDescent="0.3">
      <c r="A76" s="546" t="s">
        <v>1221</v>
      </c>
      <c r="B76" s="547" t="s">
        <v>229</v>
      </c>
      <c r="C76" s="546" t="s">
        <v>1251</v>
      </c>
      <c r="F76" s="547" t="s">
        <v>191</v>
      </c>
      <c r="G76" s="547" t="s">
        <v>1516</v>
      </c>
      <c r="I76" s="546" t="s">
        <v>179</v>
      </c>
      <c r="J76" s="546" t="s">
        <v>1567</v>
      </c>
    </row>
    <row r="77" spans="1:11" x14ac:dyDescent="0.3">
      <c r="A77" s="546" t="s">
        <v>1223</v>
      </c>
      <c r="B77" s="547" t="s">
        <v>231</v>
      </c>
      <c r="C77" s="546" t="s">
        <v>1253</v>
      </c>
      <c r="F77" s="547" t="s">
        <v>1537</v>
      </c>
      <c r="G77" s="547" t="s">
        <v>1463</v>
      </c>
      <c r="I77" s="546" t="s">
        <v>186</v>
      </c>
      <c r="J77" s="546" t="s">
        <v>1548</v>
      </c>
    </row>
    <row r="78" spans="1:11" x14ac:dyDescent="0.3">
      <c r="A78" s="546" t="s">
        <v>1086</v>
      </c>
      <c r="B78" s="547" t="s">
        <v>256</v>
      </c>
      <c r="C78" s="546" t="s">
        <v>302</v>
      </c>
      <c r="F78" s="547" t="s">
        <v>1203</v>
      </c>
      <c r="I78" s="546" t="s">
        <v>191</v>
      </c>
      <c r="J78" s="546" t="s">
        <v>1573</v>
      </c>
    </row>
    <row r="79" spans="1:11" x14ac:dyDescent="0.3">
      <c r="A79" s="546" t="s">
        <v>226</v>
      </c>
      <c r="B79" s="547" t="s">
        <v>260</v>
      </c>
      <c r="C79" s="546" t="s">
        <v>1425</v>
      </c>
      <c r="F79" s="547" t="s">
        <v>1200</v>
      </c>
      <c r="I79" s="546" t="s">
        <v>707</v>
      </c>
      <c r="J79" s="546" t="s">
        <v>1524</v>
      </c>
    </row>
    <row r="80" spans="1:11" x14ac:dyDescent="0.3">
      <c r="A80" s="546" t="s">
        <v>235</v>
      </c>
      <c r="B80" s="547" t="s">
        <v>264</v>
      </c>
      <c r="C80" s="546" t="s">
        <v>1274</v>
      </c>
      <c r="F80" s="547" t="s">
        <v>1205</v>
      </c>
      <c r="I80" s="546" t="s">
        <v>1203</v>
      </c>
      <c r="J80" s="546" t="s">
        <v>1577</v>
      </c>
    </row>
    <row r="81" spans="1:10" x14ac:dyDescent="0.3">
      <c r="A81" s="546" t="s">
        <v>239</v>
      </c>
      <c r="B81" s="547" t="s">
        <v>271</v>
      </c>
      <c r="C81" s="546" t="s">
        <v>1272</v>
      </c>
      <c r="F81" s="547" t="s">
        <v>1210</v>
      </c>
      <c r="I81" s="546" t="s">
        <v>1200</v>
      </c>
      <c r="J81" s="546" t="s">
        <v>1098</v>
      </c>
    </row>
    <row r="82" spans="1:10" x14ac:dyDescent="0.3">
      <c r="A82" s="546" t="s">
        <v>1644</v>
      </c>
      <c r="B82" s="547" t="s">
        <v>1071</v>
      </c>
      <c r="C82" s="546" t="s">
        <v>1428</v>
      </c>
      <c r="F82" s="547" t="s">
        <v>1208</v>
      </c>
      <c r="I82" s="546" t="s">
        <v>1205</v>
      </c>
      <c r="J82" s="546" t="s">
        <v>1771</v>
      </c>
    </row>
    <row r="83" spans="1:10" x14ac:dyDescent="0.3">
      <c r="A83" s="546" t="s">
        <v>1264</v>
      </c>
      <c r="B83" s="547" t="s">
        <v>1333</v>
      </c>
      <c r="C83" s="546" t="s">
        <v>1572</v>
      </c>
      <c r="F83" s="547" t="s">
        <v>183</v>
      </c>
      <c r="I83" s="546" t="s">
        <v>1210</v>
      </c>
      <c r="J83" s="546" t="s">
        <v>276</v>
      </c>
    </row>
    <row r="84" spans="1:10" x14ac:dyDescent="0.3">
      <c r="A84" s="546" t="s">
        <v>1266</v>
      </c>
      <c r="B84" s="547" t="s">
        <v>1072</v>
      </c>
      <c r="C84" s="546" t="s">
        <v>1416</v>
      </c>
      <c r="F84" s="547" t="s">
        <v>312</v>
      </c>
      <c r="I84" s="546" t="s">
        <v>1208</v>
      </c>
    </row>
    <row r="85" spans="1:10" x14ac:dyDescent="0.3">
      <c r="A85" s="546" t="s">
        <v>1268</v>
      </c>
      <c r="B85" s="547" t="s">
        <v>1152</v>
      </c>
      <c r="C85" s="546" t="s">
        <v>1262</v>
      </c>
      <c r="F85" s="547" t="s">
        <v>314</v>
      </c>
      <c r="I85" s="546" t="s">
        <v>183</v>
      </c>
    </row>
    <row r="86" spans="1:10" x14ac:dyDescent="0.3">
      <c r="A86" s="546" t="s">
        <v>331</v>
      </c>
      <c r="B86" s="547" t="s">
        <v>1154</v>
      </c>
      <c r="C86" s="546" t="s">
        <v>162</v>
      </c>
      <c r="F86" s="547" t="s">
        <v>1214</v>
      </c>
      <c r="I86" s="546" t="s">
        <v>1616</v>
      </c>
    </row>
    <row r="87" spans="1:10" x14ac:dyDescent="0.3">
      <c r="A87" s="546" t="s">
        <v>334</v>
      </c>
      <c r="B87" s="547" t="s">
        <v>1150</v>
      </c>
      <c r="C87" s="546" t="s">
        <v>166</v>
      </c>
      <c r="F87" s="547" t="s">
        <v>1405</v>
      </c>
      <c r="I87" s="546" t="s">
        <v>312</v>
      </c>
    </row>
    <row r="88" spans="1:10" x14ac:dyDescent="0.3">
      <c r="A88" s="546" t="s">
        <v>328</v>
      </c>
      <c r="B88" s="547" t="s">
        <v>1157</v>
      </c>
      <c r="C88" s="546" t="s">
        <v>1256</v>
      </c>
      <c r="F88" s="547" t="s">
        <v>1542</v>
      </c>
      <c r="I88" s="546" t="s">
        <v>314</v>
      </c>
    </row>
    <row r="89" spans="1:10" x14ac:dyDescent="0.3">
      <c r="A89" s="546" t="s">
        <v>1087</v>
      </c>
      <c r="B89" s="547" t="s">
        <v>1158</v>
      </c>
      <c r="C89" s="546" t="s">
        <v>1258</v>
      </c>
      <c r="F89" s="547" t="s">
        <v>1543</v>
      </c>
      <c r="I89" s="546" t="s">
        <v>1214</v>
      </c>
    </row>
    <row r="90" spans="1:10" x14ac:dyDescent="0.3">
      <c r="A90" s="546" t="s">
        <v>1241</v>
      </c>
      <c r="B90" s="547" t="s">
        <v>1156</v>
      </c>
      <c r="C90" s="546" t="s">
        <v>1259</v>
      </c>
      <c r="F90" s="547" t="s">
        <v>1544</v>
      </c>
      <c r="I90" s="546" t="s">
        <v>1405</v>
      </c>
    </row>
    <row r="91" spans="1:10" x14ac:dyDescent="0.3">
      <c r="A91" s="546" t="s">
        <v>1233</v>
      </c>
      <c r="B91" s="547" t="s">
        <v>1151</v>
      </c>
      <c r="C91" s="546" t="s">
        <v>1261</v>
      </c>
      <c r="F91" s="547" t="s">
        <v>1545</v>
      </c>
      <c r="I91" s="546" t="s">
        <v>197</v>
      </c>
    </row>
    <row r="92" spans="1:10" x14ac:dyDescent="0.3">
      <c r="A92" s="546" t="s">
        <v>1239</v>
      </c>
      <c r="B92" s="547" t="s">
        <v>1153</v>
      </c>
      <c r="C92" s="546" t="s">
        <v>1400</v>
      </c>
      <c r="F92" s="547" t="s">
        <v>1085</v>
      </c>
      <c r="I92" s="546" t="s">
        <v>201</v>
      </c>
    </row>
    <row r="93" spans="1:10" x14ac:dyDescent="0.3">
      <c r="A93" s="546" t="s">
        <v>1235</v>
      </c>
      <c r="B93" s="547" t="s">
        <v>1155</v>
      </c>
      <c r="C93" s="546" t="s">
        <v>1217</v>
      </c>
      <c r="F93" s="547" t="s">
        <v>1219</v>
      </c>
      <c r="I93" s="546" t="s">
        <v>1081</v>
      </c>
    </row>
    <row r="94" spans="1:10" x14ac:dyDescent="0.3">
      <c r="A94" s="546" t="s">
        <v>1243</v>
      </c>
      <c r="B94" s="547" t="s">
        <v>1159</v>
      </c>
      <c r="C94" s="546" t="s">
        <v>1216</v>
      </c>
      <c r="F94" s="547" t="s">
        <v>317</v>
      </c>
      <c r="I94" s="546" t="s">
        <v>1083</v>
      </c>
    </row>
    <row r="95" spans="1:10" x14ac:dyDescent="0.3">
      <c r="A95" s="546" t="s">
        <v>1237</v>
      </c>
      <c r="B95" s="547" t="s">
        <v>1073</v>
      </c>
      <c r="C95" s="546" t="s">
        <v>1199</v>
      </c>
      <c r="F95" s="547" t="s">
        <v>1546</v>
      </c>
      <c r="I95" s="546" t="s">
        <v>1085</v>
      </c>
    </row>
    <row r="96" spans="1:10" x14ac:dyDescent="0.3">
      <c r="A96" s="546" t="s">
        <v>1245</v>
      </c>
      <c r="B96" s="547" t="s">
        <v>1254</v>
      </c>
      <c r="C96" s="546" t="s">
        <v>1207</v>
      </c>
      <c r="F96" s="547" t="s">
        <v>1547</v>
      </c>
      <c r="I96" s="546" t="s">
        <v>1219</v>
      </c>
    </row>
    <row r="97" spans="1:9" x14ac:dyDescent="0.3">
      <c r="A97" s="546" t="s">
        <v>1242</v>
      </c>
      <c r="B97" s="547" t="s">
        <v>143</v>
      </c>
      <c r="C97" s="546" t="s">
        <v>1202</v>
      </c>
      <c r="F97" s="547" t="s">
        <v>1421</v>
      </c>
      <c r="I97" s="546" t="s">
        <v>1618</v>
      </c>
    </row>
    <row r="98" spans="1:9" x14ac:dyDescent="0.3">
      <c r="A98" s="546" t="s">
        <v>1240</v>
      </c>
      <c r="B98" s="547" t="s">
        <v>1249</v>
      </c>
      <c r="C98" s="546" t="s">
        <v>1204</v>
      </c>
      <c r="F98" s="547" t="s">
        <v>218</v>
      </c>
      <c r="I98" s="546" t="s">
        <v>317</v>
      </c>
    </row>
    <row r="99" spans="1:9" x14ac:dyDescent="0.3">
      <c r="A99" s="546" t="s">
        <v>1232</v>
      </c>
      <c r="B99" s="547" t="s">
        <v>1251</v>
      </c>
      <c r="C99" s="546" t="s">
        <v>1201</v>
      </c>
      <c r="F99" s="547" t="s">
        <v>222</v>
      </c>
      <c r="I99" s="546" t="s">
        <v>322</v>
      </c>
    </row>
    <row r="100" spans="1:9" x14ac:dyDescent="0.3">
      <c r="A100" s="546" t="s">
        <v>1238</v>
      </c>
      <c r="B100" s="547" t="s">
        <v>1253</v>
      </c>
      <c r="C100" s="546" t="s">
        <v>1206</v>
      </c>
      <c r="F100" s="547" t="s">
        <v>232</v>
      </c>
      <c r="I100" s="546" t="s">
        <v>319</v>
      </c>
    </row>
    <row r="101" spans="1:9" x14ac:dyDescent="0.3">
      <c r="A101" s="546" t="s">
        <v>1234</v>
      </c>
      <c r="B101" s="547" t="s">
        <v>302</v>
      </c>
      <c r="C101" s="546" t="s">
        <v>1211</v>
      </c>
      <c r="F101" s="547" t="s">
        <v>235</v>
      </c>
      <c r="I101" s="546" t="s">
        <v>1421</v>
      </c>
    </row>
    <row r="102" spans="1:9" x14ac:dyDescent="0.3">
      <c r="A102" s="546" t="s">
        <v>1093</v>
      </c>
      <c r="B102" s="547" t="s">
        <v>1076</v>
      </c>
      <c r="C102" s="546" t="s">
        <v>1209</v>
      </c>
      <c r="F102" s="547" t="s">
        <v>239</v>
      </c>
      <c r="I102" s="546" t="s">
        <v>218</v>
      </c>
    </row>
    <row r="103" spans="1:9" x14ac:dyDescent="0.3">
      <c r="A103" s="546" t="s">
        <v>1279</v>
      </c>
      <c r="B103" s="547" t="s">
        <v>1274</v>
      </c>
      <c r="C103" s="546" t="s">
        <v>1212</v>
      </c>
      <c r="F103" s="547" t="s">
        <v>1649</v>
      </c>
      <c r="I103" s="546" t="s">
        <v>222</v>
      </c>
    </row>
    <row r="104" spans="1:9" x14ac:dyDescent="0.3">
      <c r="A104" s="546" t="s">
        <v>1278</v>
      </c>
      <c r="B104" s="547" t="s">
        <v>1272</v>
      </c>
      <c r="C104" s="546" t="s">
        <v>1538</v>
      </c>
      <c r="F104" s="547" t="s">
        <v>1263</v>
      </c>
      <c r="I104" s="546" t="s">
        <v>232</v>
      </c>
    </row>
    <row r="105" spans="1:9" x14ac:dyDescent="0.3">
      <c r="A105" s="546" t="s">
        <v>1276</v>
      </c>
      <c r="B105" s="547" t="s">
        <v>1273</v>
      </c>
      <c r="C105" s="546" t="s">
        <v>1213</v>
      </c>
      <c r="F105" s="547" t="s">
        <v>1265</v>
      </c>
      <c r="I105" s="546" t="s">
        <v>235</v>
      </c>
    </row>
    <row r="106" spans="1:9" x14ac:dyDescent="0.3">
      <c r="A106" s="546" t="s">
        <v>1277</v>
      </c>
      <c r="B106" s="547" t="s">
        <v>1077</v>
      </c>
      <c r="C106" s="546" t="s">
        <v>1215</v>
      </c>
      <c r="F106" s="547" t="s">
        <v>1267</v>
      </c>
      <c r="I106" s="546" t="s">
        <v>239</v>
      </c>
    </row>
    <row r="107" spans="1:9" x14ac:dyDescent="0.3">
      <c r="A107" s="546" t="s">
        <v>1280</v>
      </c>
      <c r="B107" s="547" t="s">
        <v>1262</v>
      </c>
      <c r="C107" s="546" t="s">
        <v>1404</v>
      </c>
      <c r="F107" s="547" t="s">
        <v>1674</v>
      </c>
      <c r="I107" s="546" t="s">
        <v>1650</v>
      </c>
    </row>
    <row r="108" spans="1:9" x14ac:dyDescent="0.3">
      <c r="A108" s="546" t="s">
        <v>1094</v>
      </c>
      <c r="B108" s="547" t="s">
        <v>162</v>
      </c>
      <c r="C108" s="546" t="s">
        <v>1231</v>
      </c>
      <c r="F108" s="547" t="s">
        <v>331</v>
      </c>
      <c r="I108" s="546" t="s">
        <v>1263</v>
      </c>
    </row>
    <row r="109" spans="1:9" x14ac:dyDescent="0.3">
      <c r="A109" s="546" t="s">
        <v>1183</v>
      </c>
      <c r="B109" s="547" t="s">
        <v>166</v>
      </c>
      <c r="C109" s="546" t="s">
        <v>1230</v>
      </c>
      <c r="F109" s="547" t="s">
        <v>334</v>
      </c>
      <c r="I109" s="546" t="s">
        <v>1265</v>
      </c>
    </row>
    <row r="110" spans="1:9" x14ac:dyDescent="0.3">
      <c r="A110" s="546" t="s">
        <v>1181</v>
      </c>
      <c r="B110" s="547" t="s">
        <v>1256</v>
      </c>
      <c r="C110" s="546" t="s">
        <v>1218</v>
      </c>
      <c r="F110" s="547" t="s">
        <v>328</v>
      </c>
      <c r="I110" s="546" t="s">
        <v>1267</v>
      </c>
    </row>
    <row r="111" spans="1:9" x14ac:dyDescent="0.3">
      <c r="A111" s="546" t="s">
        <v>1185</v>
      </c>
      <c r="B111" s="547" t="s">
        <v>1258</v>
      </c>
      <c r="C111" s="546" t="s">
        <v>1224</v>
      </c>
      <c r="F111" s="547" t="s">
        <v>325</v>
      </c>
      <c r="I111" s="546" t="s">
        <v>1675</v>
      </c>
    </row>
    <row r="112" spans="1:9" x14ac:dyDescent="0.3">
      <c r="A112" s="546" t="s">
        <v>1187</v>
      </c>
      <c r="B112" s="547" t="s">
        <v>1259</v>
      </c>
      <c r="C112" s="546" t="s">
        <v>1226</v>
      </c>
      <c r="F112" s="547" t="s">
        <v>1409</v>
      </c>
      <c r="I112" s="546" t="s">
        <v>331</v>
      </c>
    </row>
    <row r="113" spans="1:9" x14ac:dyDescent="0.3">
      <c r="A113" s="546" t="s">
        <v>1190</v>
      </c>
      <c r="B113" s="547" t="s">
        <v>1261</v>
      </c>
      <c r="C113" s="546" t="s">
        <v>1225</v>
      </c>
      <c r="F113" s="547" t="s">
        <v>1554</v>
      </c>
      <c r="I113" s="546" t="s">
        <v>334</v>
      </c>
    </row>
    <row r="114" spans="1:9" x14ac:dyDescent="0.3">
      <c r="A114" s="546" t="s">
        <v>1188</v>
      </c>
      <c r="B114" s="547" t="s">
        <v>1079</v>
      </c>
      <c r="C114" s="546" t="s">
        <v>1220</v>
      </c>
      <c r="F114" s="547" t="s">
        <v>1241</v>
      </c>
      <c r="I114" s="546" t="s">
        <v>328</v>
      </c>
    </row>
    <row r="115" spans="1:9" x14ac:dyDescent="0.3">
      <c r="A115" s="546" t="s">
        <v>1192</v>
      </c>
      <c r="B115" s="547" t="s">
        <v>1217</v>
      </c>
      <c r="C115" s="546" t="s">
        <v>1229</v>
      </c>
      <c r="F115" s="547" t="s">
        <v>258</v>
      </c>
      <c r="I115" s="546" t="s">
        <v>325</v>
      </c>
    </row>
    <row r="116" spans="1:9" x14ac:dyDescent="0.3">
      <c r="A116" s="546" t="s">
        <v>1182</v>
      </c>
      <c r="B116" s="547" t="s">
        <v>1216</v>
      </c>
      <c r="C116" s="546" t="s">
        <v>1221</v>
      </c>
      <c r="F116" s="547" t="s">
        <v>262</v>
      </c>
      <c r="I116" s="546" t="s">
        <v>1409</v>
      </c>
    </row>
    <row r="117" spans="1:9" x14ac:dyDescent="0.3">
      <c r="A117" s="546" t="s">
        <v>1097</v>
      </c>
      <c r="B117" s="547" t="s">
        <v>1199</v>
      </c>
      <c r="C117" s="546" t="s">
        <v>1223</v>
      </c>
      <c r="F117" s="547" t="s">
        <v>265</v>
      </c>
      <c r="I117" s="546" t="s">
        <v>249</v>
      </c>
    </row>
    <row r="118" spans="1:9" x14ac:dyDescent="0.3">
      <c r="A118" s="546" t="s">
        <v>310</v>
      </c>
      <c r="B118" s="547" t="s">
        <v>1207</v>
      </c>
      <c r="C118" s="546" t="s">
        <v>1228</v>
      </c>
      <c r="F118" s="547" t="s">
        <v>1236</v>
      </c>
      <c r="I118" s="546" t="s">
        <v>1089</v>
      </c>
    </row>
    <row r="119" spans="1:9" x14ac:dyDescent="0.3">
      <c r="A119" s="546" t="s">
        <v>315</v>
      </c>
      <c r="B119" s="547" t="s">
        <v>1202</v>
      </c>
      <c r="C119" s="546" t="s">
        <v>1420</v>
      </c>
      <c r="F119" s="547" t="s">
        <v>1555</v>
      </c>
      <c r="I119" s="546" t="s">
        <v>258</v>
      </c>
    </row>
    <row r="120" spans="1:9" x14ac:dyDescent="0.3">
      <c r="A120" s="546" t="s">
        <v>1286</v>
      </c>
      <c r="B120" s="547" t="s">
        <v>1204</v>
      </c>
      <c r="C120" s="546" t="s">
        <v>1271</v>
      </c>
      <c r="F120" s="547" t="s">
        <v>351</v>
      </c>
      <c r="I120" s="546" t="s">
        <v>262</v>
      </c>
    </row>
    <row r="121" spans="1:9" x14ac:dyDescent="0.3">
      <c r="A121" s="546" t="s">
        <v>1288</v>
      </c>
      <c r="B121" s="547" t="s">
        <v>1201</v>
      </c>
      <c r="C121" s="546" t="s">
        <v>1269</v>
      </c>
      <c r="F121" s="547" t="s">
        <v>1091</v>
      </c>
      <c r="I121" s="546" t="s">
        <v>265</v>
      </c>
    </row>
    <row r="122" spans="1:9" x14ac:dyDescent="0.3">
      <c r="A122" s="546" t="s">
        <v>1290</v>
      </c>
      <c r="B122" s="547" t="s">
        <v>1206</v>
      </c>
      <c r="C122" s="546" t="s">
        <v>226</v>
      </c>
      <c r="F122" s="547" t="s">
        <v>337</v>
      </c>
      <c r="I122" s="546" t="s">
        <v>1236</v>
      </c>
    </row>
    <row r="123" spans="1:9" x14ac:dyDescent="0.3">
      <c r="A123" s="546" t="s">
        <v>1745</v>
      </c>
      <c r="B123" s="547" t="s">
        <v>1211</v>
      </c>
      <c r="C123" s="546" t="s">
        <v>1423</v>
      </c>
      <c r="F123" s="547" t="s">
        <v>344</v>
      </c>
      <c r="I123" s="546" t="s">
        <v>1244</v>
      </c>
    </row>
    <row r="124" spans="1:9" x14ac:dyDescent="0.3">
      <c r="A124" s="546" t="s">
        <v>1746</v>
      </c>
      <c r="B124" s="547" t="s">
        <v>1209</v>
      </c>
      <c r="C124" s="546" t="s">
        <v>235</v>
      </c>
      <c r="F124" s="547" t="s">
        <v>347</v>
      </c>
      <c r="I124" s="546" t="s">
        <v>351</v>
      </c>
    </row>
    <row r="125" spans="1:9" x14ac:dyDescent="0.3">
      <c r="A125" s="546" t="s">
        <v>254</v>
      </c>
      <c r="B125" s="547" t="s">
        <v>1212</v>
      </c>
      <c r="C125" s="546" t="s">
        <v>239</v>
      </c>
      <c r="F125" s="547" t="s">
        <v>1431</v>
      </c>
      <c r="I125" s="546" t="s">
        <v>1091</v>
      </c>
    </row>
    <row r="126" spans="1:9" x14ac:dyDescent="0.3">
      <c r="A126" s="546" t="s">
        <v>1292</v>
      </c>
      <c r="B126" s="547" t="s">
        <v>1213</v>
      </c>
      <c r="C126" s="546" t="s">
        <v>1649</v>
      </c>
      <c r="F126" s="547" t="s">
        <v>266</v>
      </c>
      <c r="I126" s="546" t="s">
        <v>337</v>
      </c>
    </row>
    <row r="127" spans="1:9" x14ac:dyDescent="0.3">
      <c r="A127" s="546" t="s">
        <v>1747</v>
      </c>
      <c r="B127" s="547" t="s">
        <v>1215</v>
      </c>
      <c r="C127" s="546" t="s">
        <v>1264</v>
      </c>
      <c r="F127" s="547" t="s">
        <v>269</v>
      </c>
      <c r="I127" s="546" t="s">
        <v>344</v>
      </c>
    </row>
    <row r="128" spans="1:9" x14ac:dyDescent="0.3">
      <c r="A128" s="546" t="s">
        <v>1748</v>
      </c>
      <c r="B128" s="547" t="s">
        <v>1080</v>
      </c>
      <c r="C128" s="546" t="s">
        <v>1266</v>
      </c>
      <c r="F128" s="547" t="s">
        <v>277</v>
      </c>
      <c r="I128" s="546" t="s">
        <v>347</v>
      </c>
    </row>
    <row r="129" spans="2:9" x14ac:dyDescent="0.3">
      <c r="B129" s="547" t="s">
        <v>1231</v>
      </c>
      <c r="C129" s="546" t="s">
        <v>1268</v>
      </c>
      <c r="F129" s="547" t="s">
        <v>1275</v>
      </c>
      <c r="I129" s="546" t="s">
        <v>1431</v>
      </c>
    </row>
    <row r="130" spans="2:9" x14ac:dyDescent="0.3">
      <c r="B130" s="547" t="s">
        <v>1230</v>
      </c>
      <c r="C130" s="546" t="s">
        <v>331</v>
      </c>
      <c r="F130" s="547" t="s">
        <v>354</v>
      </c>
      <c r="I130" s="546" t="s">
        <v>266</v>
      </c>
    </row>
    <row r="131" spans="2:9" x14ac:dyDescent="0.3">
      <c r="B131" s="547" t="s">
        <v>1218</v>
      </c>
      <c r="C131" s="546" t="s">
        <v>334</v>
      </c>
      <c r="F131" s="547" t="s">
        <v>364</v>
      </c>
      <c r="I131" s="546" t="s">
        <v>269</v>
      </c>
    </row>
    <row r="132" spans="2:9" x14ac:dyDescent="0.3">
      <c r="B132" s="547" t="s">
        <v>1224</v>
      </c>
      <c r="C132" s="546" t="s">
        <v>328</v>
      </c>
      <c r="F132" s="547" t="s">
        <v>358</v>
      </c>
      <c r="I132" s="546" t="s">
        <v>277</v>
      </c>
    </row>
    <row r="133" spans="2:9" x14ac:dyDescent="0.3">
      <c r="B133" s="547" t="s">
        <v>1226</v>
      </c>
      <c r="C133" s="546" t="s">
        <v>1270</v>
      </c>
      <c r="F133" s="547" t="s">
        <v>1397</v>
      </c>
      <c r="I133" s="546" t="s">
        <v>1275</v>
      </c>
    </row>
    <row r="134" spans="2:9" x14ac:dyDescent="0.3">
      <c r="B134" s="547" t="s">
        <v>1225</v>
      </c>
      <c r="C134" s="546" t="s">
        <v>1408</v>
      </c>
      <c r="F134" s="547" t="s">
        <v>283</v>
      </c>
      <c r="I134" s="546" t="s">
        <v>354</v>
      </c>
    </row>
    <row r="135" spans="2:9" x14ac:dyDescent="0.3">
      <c r="B135" s="547" t="s">
        <v>1220</v>
      </c>
      <c r="C135" s="546" t="s">
        <v>1246</v>
      </c>
      <c r="F135" s="547" t="s">
        <v>290</v>
      </c>
      <c r="I135" s="546" t="s">
        <v>364</v>
      </c>
    </row>
    <row r="136" spans="2:9" x14ac:dyDescent="0.3">
      <c r="B136" s="547" t="s">
        <v>1227</v>
      </c>
      <c r="C136" s="546" t="s">
        <v>1241</v>
      </c>
      <c r="F136" s="547" t="s">
        <v>1534</v>
      </c>
      <c r="I136" s="546" t="s">
        <v>358</v>
      </c>
    </row>
    <row r="137" spans="2:9" x14ac:dyDescent="0.3">
      <c r="B137" s="547" t="s">
        <v>1229</v>
      </c>
      <c r="C137" s="546" t="s">
        <v>1233</v>
      </c>
      <c r="F137" s="547" t="s">
        <v>300</v>
      </c>
      <c r="I137" s="546" t="s">
        <v>1397</v>
      </c>
    </row>
    <row r="138" spans="2:9" x14ac:dyDescent="0.3">
      <c r="B138" s="547" t="s">
        <v>1221</v>
      </c>
      <c r="C138" s="546" t="s">
        <v>1239</v>
      </c>
      <c r="F138" s="547" t="s">
        <v>1180</v>
      </c>
      <c r="I138" s="546" t="s">
        <v>283</v>
      </c>
    </row>
    <row r="139" spans="2:9" x14ac:dyDescent="0.3">
      <c r="B139" s="547" t="s">
        <v>1223</v>
      </c>
      <c r="C139" s="546" t="s">
        <v>1235</v>
      </c>
      <c r="F139" s="547" t="s">
        <v>1184</v>
      </c>
      <c r="I139" s="546" t="s">
        <v>290</v>
      </c>
    </row>
    <row r="140" spans="2:9" x14ac:dyDescent="0.3">
      <c r="B140" s="547" t="s">
        <v>1228</v>
      </c>
      <c r="C140" s="546" t="s">
        <v>1243</v>
      </c>
      <c r="F140" s="547" t="s">
        <v>1186</v>
      </c>
      <c r="I140" s="546" t="s">
        <v>747</v>
      </c>
    </row>
    <row r="141" spans="2:9" x14ac:dyDescent="0.3">
      <c r="B141" s="547" t="s">
        <v>1086</v>
      </c>
      <c r="C141" s="546" t="s">
        <v>1237</v>
      </c>
      <c r="F141" s="547" t="s">
        <v>1530</v>
      </c>
      <c r="I141" s="546" t="s">
        <v>300</v>
      </c>
    </row>
    <row r="142" spans="2:9" x14ac:dyDescent="0.3">
      <c r="B142" s="547" t="s">
        <v>1271</v>
      </c>
      <c r="C142" s="546" t="s">
        <v>1245</v>
      </c>
      <c r="F142" s="547" t="s">
        <v>1531</v>
      </c>
      <c r="I142" s="546" t="s">
        <v>1180</v>
      </c>
    </row>
    <row r="143" spans="2:9" x14ac:dyDescent="0.3">
      <c r="B143" s="547" t="s">
        <v>1269</v>
      </c>
      <c r="C143" s="546" t="s">
        <v>1242</v>
      </c>
      <c r="F143" s="547" t="s">
        <v>1532</v>
      </c>
      <c r="I143" s="546" t="s">
        <v>1184</v>
      </c>
    </row>
    <row r="144" spans="2:9" x14ac:dyDescent="0.3">
      <c r="B144" s="547" t="s">
        <v>226</v>
      </c>
      <c r="C144" s="546" t="s">
        <v>1240</v>
      </c>
      <c r="F144" s="547" t="s">
        <v>1193</v>
      </c>
      <c r="I144" s="546" t="s">
        <v>1186</v>
      </c>
    </row>
    <row r="145" spans="2:9" x14ac:dyDescent="0.3">
      <c r="B145" s="547" t="s">
        <v>235</v>
      </c>
      <c r="C145" s="546" t="s">
        <v>1232</v>
      </c>
      <c r="F145" s="547" t="s">
        <v>1533</v>
      </c>
      <c r="I145" s="546" t="s">
        <v>1191</v>
      </c>
    </row>
    <row r="146" spans="2:9" x14ac:dyDescent="0.3">
      <c r="B146" s="547" t="s">
        <v>239</v>
      </c>
      <c r="C146" s="546" t="s">
        <v>1247</v>
      </c>
      <c r="F146" s="547" t="s">
        <v>1182</v>
      </c>
      <c r="I146" s="546" t="s">
        <v>1197</v>
      </c>
    </row>
    <row r="147" spans="2:9" x14ac:dyDescent="0.3">
      <c r="B147" s="547" t="s">
        <v>1649</v>
      </c>
      <c r="C147" s="546" t="s">
        <v>1238</v>
      </c>
      <c r="F147" s="547" t="s">
        <v>1435</v>
      </c>
      <c r="I147" s="546" t="s">
        <v>1613</v>
      </c>
    </row>
    <row r="148" spans="2:9" x14ac:dyDescent="0.3">
      <c r="B148" s="547" t="s">
        <v>1264</v>
      </c>
      <c r="C148" s="546" t="s">
        <v>1234</v>
      </c>
      <c r="F148" s="547" t="s">
        <v>303</v>
      </c>
      <c r="I148" s="546" t="s">
        <v>372</v>
      </c>
    </row>
    <row r="149" spans="2:9" x14ac:dyDescent="0.3">
      <c r="B149" s="547" t="s">
        <v>1266</v>
      </c>
      <c r="C149" s="546" t="s">
        <v>1430</v>
      </c>
      <c r="F149" s="547" t="s">
        <v>315</v>
      </c>
      <c r="I149" s="546" t="s">
        <v>367</v>
      </c>
    </row>
    <row r="150" spans="2:9" x14ac:dyDescent="0.3">
      <c r="B150" s="547" t="s">
        <v>1268</v>
      </c>
      <c r="C150" s="546" t="s">
        <v>1284</v>
      </c>
      <c r="F150" s="547" t="s">
        <v>1285</v>
      </c>
      <c r="I150" s="546" t="s">
        <v>1095</v>
      </c>
    </row>
    <row r="151" spans="2:9" x14ac:dyDescent="0.3">
      <c r="B151" s="547" t="s">
        <v>331</v>
      </c>
      <c r="C151" s="546" t="s">
        <v>1283</v>
      </c>
      <c r="F151" s="547" t="s">
        <v>1287</v>
      </c>
      <c r="I151" s="546" t="s">
        <v>1096</v>
      </c>
    </row>
    <row r="152" spans="2:9" x14ac:dyDescent="0.3">
      <c r="B152" s="547" t="s">
        <v>334</v>
      </c>
      <c r="C152" s="546" t="s">
        <v>1279</v>
      </c>
      <c r="F152" s="547" t="s">
        <v>1289</v>
      </c>
      <c r="I152" s="546" t="s">
        <v>1435</v>
      </c>
    </row>
    <row r="153" spans="2:9" x14ac:dyDescent="0.3">
      <c r="B153" s="547" t="s">
        <v>328</v>
      </c>
      <c r="C153" s="546" t="s">
        <v>1278</v>
      </c>
      <c r="F153" s="547" t="s">
        <v>1295</v>
      </c>
      <c r="I153" s="546" t="s">
        <v>303</v>
      </c>
    </row>
    <row r="154" spans="2:9" x14ac:dyDescent="0.3">
      <c r="B154" s="547" t="s">
        <v>1270</v>
      </c>
      <c r="C154" s="546" t="s">
        <v>1575</v>
      </c>
      <c r="F154" s="547" t="s">
        <v>1299</v>
      </c>
      <c r="I154" s="546" t="s">
        <v>315</v>
      </c>
    </row>
    <row r="155" spans="2:9" x14ac:dyDescent="0.3">
      <c r="B155" s="547" t="s">
        <v>1087</v>
      </c>
      <c r="C155" s="546" t="s">
        <v>1282</v>
      </c>
      <c r="F155" s="547" t="s">
        <v>254</v>
      </c>
      <c r="I155" s="546" t="s">
        <v>1285</v>
      </c>
    </row>
    <row r="156" spans="2:9" x14ac:dyDescent="0.3">
      <c r="B156" s="547" t="s">
        <v>1246</v>
      </c>
      <c r="C156" s="546" t="s">
        <v>1277</v>
      </c>
      <c r="F156" s="547" t="s">
        <v>252</v>
      </c>
      <c r="I156" s="546" t="s">
        <v>1287</v>
      </c>
    </row>
    <row r="157" spans="2:9" x14ac:dyDescent="0.3">
      <c r="B157" s="547" t="s">
        <v>1241</v>
      </c>
      <c r="C157" s="546" t="s">
        <v>1280</v>
      </c>
      <c r="F157" s="547" t="s">
        <v>1291</v>
      </c>
      <c r="I157" s="546" t="s">
        <v>1289</v>
      </c>
    </row>
    <row r="158" spans="2:9" x14ac:dyDescent="0.3">
      <c r="B158" s="547" t="s">
        <v>1233</v>
      </c>
      <c r="C158" s="546" t="s">
        <v>1281</v>
      </c>
      <c r="F158" s="547" t="s">
        <v>1671</v>
      </c>
      <c r="I158" s="546" t="s">
        <v>1295</v>
      </c>
    </row>
    <row r="159" spans="2:9" x14ac:dyDescent="0.3">
      <c r="B159" s="547" t="s">
        <v>1239</v>
      </c>
      <c r="C159" s="546" t="s">
        <v>1396</v>
      </c>
      <c r="F159" s="547" t="s">
        <v>286</v>
      </c>
      <c r="I159" s="546" t="s">
        <v>1299</v>
      </c>
    </row>
    <row r="160" spans="2:9" x14ac:dyDescent="0.3">
      <c r="B160" s="547" t="s">
        <v>1235</v>
      </c>
      <c r="C160" s="546" t="s">
        <v>1196</v>
      </c>
      <c r="F160" s="547" t="s">
        <v>1252</v>
      </c>
      <c r="I160" s="546" t="s">
        <v>254</v>
      </c>
    </row>
    <row r="161" spans="2:9" x14ac:dyDescent="0.3">
      <c r="B161" s="547" t="s">
        <v>1243</v>
      </c>
      <c r="C161" s="546" t="s">
        <v>1195</v>
      </c>
      <c r="I161" s="546" t="s">
        <v>252</v>
      </c>
    </row>
    <row r="162" spans="2:9" x14ac:dyDescent="0.3">
      <c r="B162" s="547" t="s">
        <v>1237</v>
      </c>
      <c r="C162" s="546" t="s">
        <v>1183</v>
      </c>
      <c r="I162" s="546" t="s">
        <v>1667</v>
      </c>
    </row>
    <row r="163" spans="2:9" x14ac:dyDescent="0.3">
      <c r="B163" s="547" t="s">
        <v>1245</v>
      </c>
      <c r="C163" s="546" t="s">
        <v>1181</v>
      </c>
      <c r="I163" s="546" t="s">
        <v>1669</v>
      </c>
    </row>
    <row r="164" spans="2:9" x14ac:dyDescent="0.3">
      <c r="B164" s="547" t="s">
        <v>1242</v>
      </c>
      <c r="C164" s="546" t="s">
        <v>1185</v>
      </c>
      <c r="I164" s="546" t="s">
        <v>286</v>
      </c>
    </row>
    <row r="165" spans="2:9" x14ac:dyDescent="0.3">
      <c r="B165" s="547" t="s">
        <v>1240</v>
      </c>
      <c r="C165" s="546" t="s">
        <v>1187</v>
      </c>
      <c r="I165" s="546" t="s">
        <v>1668</v>
      </c>
    </row>
    <row r="166" spans="2:9" x14ac:dyDescent="0.3">
      <c r="B166" s="547" t="s">
        <v>1232</v>
      </c>
      <c r="C166" s="546" t="s">
        <v>1190</v>
      </c>
    </row>
    <row r="167" spans="2:9" x14ac:dyDescent="0.3">
      <c r="B167" s="547" t="s">
        <v>1247</v>
      </c>
      <c r="C167" s="546" t="s">
        <v>1188</v>
      </c>
    </row>
    <row r="168" spans="2:9" x14ac:dyDescent="0.3">
      <c r="B168" s="547" t="s">
        <v>1238</v>
      </c>
      <c r="C168" s="546" t="s">
        <v>1198</v>
      </c>
    </row>
    <row r="169" spans="2:9" x14ac:dyDescent="0.3">
      <c r="B169" s="547" t="s">
        <v>1234</v>
      </c>
      <c r="C169" s="546" t="s">
        <v>1194</v>
      </c>
    </row>
    <row r="170" spans="2:9" x14ac:dyDescent="0.3">
      <c r="B170" s="547" t="s">
        <v>1093</v>
      </c>
      <c r="C170" s="546" t="s">
        <v>1193</v>
      </c>
    </row>
    <row r="171" spans="2:9" x14ac:dyDescent="0.3">
      <c r="B171" s="547" t="s">
        <v>1284</v>
      </c>
      <c r="C171" s="546" t="s">
        <v>1655</v>
      </c>
    </row>
    <row r="172" spans="2:9" x14ac:dyDescent="0.3">
      <c r="B172" s="547" t="s">
        <v>1283</v>
      </c>
      <c r="C172" s="546" t="s">
        <v>1533</v>
      </c>
    </row>
    <row r="173" spans="2:9" x14ac:dyDescent="0.3">
      <c r="B173" s="547" t="s">
        <v>1279</v>
      </c>
      <c r="C173" s="546" t="s">
        <v>1434</v>
      </c>
    </row>
    <row r="174" spans="2:9" x14ac:dyDescent="0.3">
      <c r="B174" s="547" t="s">
        <v>1278</v>
      </c>
      <c r="C174" s="546" t="s">
        <v>1298</v>
      </c>
    </row>
    <row r="175" spans="2:9" x14ac:dyDescent="0.3">
      <c r="B175" s="547" t="s">
        <v>1276</v>
      </c>
      <c r="C175" s="546" t="s">
        <v>1294</v>
      </c>
    </row>
    <row r="176" spans="2:9" x14ac:dyDescent="0.3">
      <c r="B176" s="547" t="s">
        <v>1282</v>
      </c>
      <c r="C176" s="546" t="s">
        <v>310</v>
      </c>
    </row>
    <row r="177" spans="2:3" x14ac:dyDescent="0.3">
      <c r="B177" s="547" t="s">
        <v>1277</v>
      </c>
      <c r="C177" s="546" t="s">
        <v>315</v>
      </c>
    </row>
    <row r="178" spans="2:3" x14ac:dyDescent="0.3">
      <c r="B178" s="547" t="s">
        <v>1280</v>
      </c>
      <c r="C178" s="546" t="s">
        <v>1286</v>
      </c>
    </row>
    <row r="179" spans="2:3" x14ac:dyDescent="0.3">
      <c r="B179" s="547" t="s">
        <v>1281</v>
      </c>
      <c r="C179" s="546" t="s">
        <v>1288</v>
      </c>
    </row>
    <row r="180" spans="2:3" x14ac:dyDescent="0.3">
      <c r="B180" s="547" t="s">
        <v>1094</v>
      </c>
      <c r="C180" s="546" t="s">
        <v>1290</v>
      </c>
    </row>
    <row r="181" spans="2:3" x14ac:dyDescent="0.3">
      <c r="B181" s="547" t="s">
        <v>1196</v>
      </c>
      <c r="C181" s="546" t="s">
        <v>1579</v>
      </c>
    </row>
    <row r="182" spans="2:3" x14ac:dyDescent="0.3">
      <c r="B182" s="547" t="s">
        <v>1195</v>
      </c>
      <c r="C182" s="546" t="s">
        <v>1300</v>
      </c>
    </row>
    <row r="183" spans="2:3" x14ac:dyDescent="0.3">
      <c r="B183" s="547" t="s">
        <v>1183</v>
      </c>
      <c r="C183" s="546" t="s">
        <v>1293</v>
      </c>
    </row>
    <row r="184" spans="2:3" x14ac:dyDescent="0.3">
      <c r="B184" s="547" t="s">
        <v>1181</v>
      </c>
      <c r="C184" s="546" t="s">
        <v>254</v>
      </c>
    </row>
    <row r="185" spans="2:3" x14ac:dyDescent="0.3">
      <c r="B185" s="547" t="s">
        <v>1185</v>
      </c>
      <c r="C185" s="546" t="s">
        <v>1297</v>
      </c>
    </row>
    <row r="186" spans="2:3" x14ac:dyDescent="0.3">
      <c r="B186" s="547" t="s">
        <v>1187</v>
      </c>
      <c r="C186" s="546" t="s">
        <v>1581</v>
      </c>
    </row>
    <row r="187" spans="2:3" x14ac:dyDescent="0.3">
      <c r="B187" s="547" t="s">
        <v>1190</v>
      </c>
      <c r="C187" s="546" t="s">
        <v>1292</v>
      </c>
    </row>
    <row r="188" spans="2:3" x14ac:dyDescent="0.3">
      <c r="B188" s="547" t="s">
        <v>1188</v>
      </c>
      <c r="C188" s="546" t="s">
        <v>1669</v>
      </c>
    </row>
    <row r="189" spans="2:3" x14ac:dyDescent="0.3">
      <c r="B189" s="547" t="s">
        <v>1192</v>
      </c>
      <c r="C189" s="546" t="s">
        <v>1635</v>
      </c>
    </row>
    <row r="190" spans="2:3" x14ac:dyDescent="0.3">
      <c r="B190" s="547" t="s">
        <v>1198</v>
      </c>
      <c r="C190" s="546" t="s">
        <v>286</v>
      </c>
    </row>
    <row r="191" spans="2:3" x14ac:dyDescent="0.3">
      <c r="B191" s="547" t="s">
        <v>1194</v>
      </c>
      <c r="C191" s="546" t="s">
        <v>1663</v>
      </c>
    </row>
    <row r="192" spans="2:3" x14ac:dyDescent="0.3">
      <c r="B192" s="547" t="s">
        <v>1193</v>
      </c>
      <c r="C192" s="546" t="s">
        <v>1376</v>
      </c>
    </row>
    <row r="193" spans="2:2" x14ac:dyDescent="0.3">
      <c r="B193" s="547" t="s">
        <v>1656</v>
      </c>
    </row>
    <row r="194" spans="2:2" x14ac:dyDescent="0.3">
      <c r="B194" s="547" t="s">
        <v>1097</v>
      </c>
    </row>
    <row r="195" spans="2:2" x14ac:dyDescent="0.3">
      <c r="B195" s="547" t="s">
        <v>1298</v>
      </c>
    </row>
    <row r="196" spans="2:2" x14ac:dyDescent="0.3">
      <c r="B196" s="547" t="s">
        <v>1294</v>
      </c>
    </row>
    <row r="197" spans="2:2" x14ac:dyDescent="0.3">
      <c r="B197" s="547" t="s">
        <v>310</v>
      </c>
    </row>
    <row r="198" spans="2:2" x14ac:dyDescent="0.3">
      <c r="B198" s="547" t="s">
        <v>315</v>
      </c>
    </row>
    <row r="199" spans="2:2" x14ac:dyDescent="0.3">
      <c r="B199" s="547" t="s">
        <v>1286</v>
      </c>
    </row>
    <row r="200" spans="2:2" x14ac:dyDescent="0.3">
      <c r="B200" s="547" t="s">
        <v>1288</v>
      </c>
    </row>
    <row r="201" spans="2:2" x14ac:dyDescent="0.3">
      <c r="B201" s="547" t="s">
        <v>1290</v>
      </c>
    </row>
    <row r="202" spans="2:2" x14ac:dyDescent="0.3">
      <c r="B202" s="547" t="s">
        <v>1296</v>
      </c>
    </row>
    <row r="203" spans="2:2" x14ac:dyDescent="0.3">
      <c r="B203" s="547" t="s">
        <v>1300</v>
      </c>
    </row>
    <row r="204" spans="2:2" x14ac:dyDescent="0.3">
      <c r="B204" s="547" t="s">
        <v>1293</v>
      </c>
    </row>
    <row r="205" spans="2:2" x14ac:dyDescent="0.3">
      <c r="B205" s="547" t="s">
        <v>254</v>
      </c>
    </row>
    <row r="206" spans="2:2" x14ac:dyDescent="0.3">
      <c r="B206" s="547" t="s">
        <v>1297</v>
      </c>
    </row>
    <row r="207" spans="2:2" x14ac:dyDescent="0.3">
      <c r="B207" s="547" t="s">
        <v>1581</v>
      </c>
    </row>
    <row r="208" spans="2:2" x14ac:dyDescent="0.3">
      <c r="B208" s="547" t="s">
        <v>1292</v>
      </c>
    </row>
    <row r="209" spans="2:2" x14ac:dyDescent="0.3">
      <c r="B209" s="547" t="s">
        <v>1670</v>
      </c>
    </row>
    <row r="210" spans="2:2" x14ac:dyDescent="0.3">
      <c r="B210" s="547" t="s">
        <v>1172</v>
      </c>
    </row>
    <row r="211" spans="2:2" x14ac:dyDescent="0.3">
      <c r="B211" s="547" t="s">
        <v>1672</v>
      </c>
    </row>
    <row r="212" spans="2:2" x14ac:dyDescent="0.3">
      <c r="B212" s="547" t="s">
        <v>1110</v>
      </c>
    </row>
    <row r="213" spans="2:2" x14ac:dyDescent="0.3">
      <c r="B213" s="547" t="s">
        <v>1252</v>
      </c>
    </row>
  </sheetData>
  <sheetProtection algorithmName="SHA-512" hashValue="7sPa3AoVRY8GePdUeVYkx/3cmpq3lQgTbw282vGcoBrmBJW23V/6DGCWDfzdbz/Dj2GJ2XCChXadrQONcYRrDw==" saltValue="tHfqTXhKlWi+AKfOdjQ++Q==" spinCount="100000" sheet="1" objects="1" scenarios="1"/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>
    <tabColor rgb="FFFFFF00"/>
  </sheetPr>
  <dimension ref="A1:XFD1048544"/>
  <sheetViews>
    <sheetView showGridLines="0" showZeros="0" tabSelected="1" zoomScaleNormal="100" workbookViewId="0">
      <selection activeCell="P9" sqref="P9"/>
    </sheetView>
  </sheetViews>
  <sheetFormatPr defaultColWidth="6.625" defaultRowHeight="15.95" customHeight="1" x14ac:dyDescent="0.3"/>
  <cols>
    <col min="1" max="1" width="3.625" style="107" customWidth="1"/>
    <col min="2" max="2" width="15.625" style="107" customWidth="1"/>
    <col min="3" max="3" width="17.125" style="131" customWidth="1"/>
    <col min="4" max="4" width="14.125" style="107" customWidth="1"/>
    <col min="5" max="6" width="10.625" style="107" customWidth="1"/>
    <col min="7" max="7" width="9.375" style="107" customWidth="1"/>
    <col min="8" max="8" width="8.125" style="152" customWidth="1"/>
    <col min="9" max="11" width="6.625" style="107" customWidth="1"/>
    <col min="12" max="12" width="7.625" style="107" bestFit="1" customWidth="1"/>
    <col min="13" max="13" width="11.125" style="107" customWidth="1"/>
    <col min="14" max="14" width="6.625" style="107"/>
    <col min="15" max="15" width="8.625" style="107" customWidth="1"/>
    <col min="16" max="16" width="6.625" style="108" customWidth="1"/>
    <col min="17" max="18" width="6.625" style="107"/>
    <col min="19" max="19" width="7.625" style="107" bestFit="1" customWidth="1"/>
    <col min="20" max="20" width="6.625" style="107"/>
    <col min="21" max="21" width="6.625" style="405"/>
    <col min="22" max="47" width="6.625" style="107"/>
    <col min="48" max="48" width="7.625" style="107" bestFit="1" customWidth="1"/>
    <col min="49" max="16384" width="6.625" style="107"/>
  </cols>
  <sheetData>
    <row r="1" spans="1:21" ht="15.95" customHeight="1" x14ac:dyDescent="0.3">
      <c r="A1" s="102"/>
      <c r="B1" s="892" t="s">
        <v>414</v>
      </c>
      <c r="C1" s="103" t="s">
        <v>563</v>
      </c>
      <c r="D1" s="104"/>
      <c r="E1" s="104"/>
      <c r="F1" s="104"/>
      <c r="G1" s="104"/>
      <c r="H1" s="105"/>
      <c r="I1" s="104"/>
      <c r="J1" s="106"/>
    </row>
    <row r="2" spans="1:21" ht="15.95" customHeight="1" x14ac:dyDescent="0.3">
      <c r="A2" s="102"/>
      <c r="B2" s="893"/>
      <c r="C2" s="110" t="s">
        <v>564</v>
      </c>
      <c r="D2" s="111"/>
      <c r="E2" s="111"/>
      <c r="F2" s="111"/>
      <c r="G2" s="111"/>
      <c r="H2" s="112"/>
      <c r="I2" s="111"/>
      <c r="J2" s="113"/>
    </row>
    <row r="3" spans="1:21" ht="15.95" customHeight="1" x14ac:dyDescent="0.3">
      <c r="A3" s="102"/>
      <c r="B3" s="893"/>
      <c r="C3" s="114" t="s">
        <v>490</v>
      </c>
      <c r="D3" s="115"/>
      <c r="E3" s="115"/>
      <c r="F3" s="115"/>
      <c r="G3" s="115"/>
      <c r="H3" s="112"/>
      <c r="I3" s="115"/>
      <c r="J3" s="116"/>
    </row>
    <row r="4" spans="1:21" ht="15.95" customHeight="1" x14ac:dyDescent="0.3">
      <c r="A4" s="102"/>
      <c r="B4" s="893"/>
      <c r="C4" s="110" t="s">
        <v>938</v>
      </c>
      <c r="D4" s="111"/>
      <c r="E4" s="111"/>
      <c r="F4" s="111"/>
      <c r="G4" s="111"/>
      <c r="H4" s="117"/>
      <c r="I4" s="111"/>
      <c r="J4" s="113"/>
    </row>
    <row r="5" spans="1:21" ht="15.95" customHeight="1" x14ac:dyDescent="0.3">
      <c r="A5" s="102"/>
      <c r="B5" s="893"/>
      <c r="C5" s="118" t="s">
        <v>565</v>
      </c>
      <c r="D5" s="119"/>
      <c r="E5" s="119"/>
      <c r="F5" s="119"/>
      <c r="G5" s="119"/>
      <c r="H5" s="120"/>
      <c r="I5" s="119"/>
      <c r="J5" s="121"/>
    </row>
    <row r="6" spans="1:21" ht="15.95" customHeight="1" x14ac:dyDescent="0.3">
      <c r="A6" s="102"/>
      <c r="B6" s="893"/>
      <c r="C6" s="122" t="s">
        <v>491</v>
      </c>
      <c r="D6" s="123"/>
      <c r="E6" s="123"/>
      <c r="F6" s="123"/>
      <c r="G6" s="123"/>
      <c r="H6" s="124"/>
      <c r="I6" s="123"/>
      <c r="J6" s="125"/>
    </row>
    <row r="7" spans="1:21" ht="15.95" customHeight="1" thickBot="1" x14ac:dyDescent="0.35">
      <c r="A7" s="102"/>
      <c r="B7" s="894"/>
      <c r="C7" s="126" t="s">
        <v>492</v>
      </c>
      <c r="D7" s="127"/>
      <c r="E7" s="127"/>
      <c r="F7" s="127"/>
      <c r="G7" s="127"/>
      <c r="H7" s="128"/>
      <c r="I7" s="127"/>
      <c r="J7" s="129"/>
    </row>
    <row r="8" spans="1:21" ht="15.95" customHeight="1" x14ac:dyDescent="0.3">
      <c r="B8" s="130"/>
      <c r="G8" s="132"/>
      <c r="H8" s="117"/>
      <c r="I8" s="102"/>
      <c r="J8" s="102"/>
    </row>
    <row r="9" spans="1:21" s="133" customFormat="1" ht="15.95" customHeight="1" x14ac:dyDescent="0.3">
      <c r="B9" s="134" t="s">
        <v>463</v>
      </c>
      <c r="C9" s="135"/>
      <c r="D9" s="136"/>
      <c r="E9" s="136"/>
      <c r="F9" s="136"/>
      <c r="G9" s="136"/>
      <c r="H9" s="137"/>
      <c r="I9" s="136"/>
      <c r="J9" s="136"/>
      <c r="P9" s="138"/>
      <c r="U9" s="139"/>
    </row>
    <row r="10" spans="1:21" ht="15.95" customHeight="1" thickBot="1" x14ac:dyDescent="0.35">
      <c r="H10" s="109"/>
    </row>
    <row r="11" spans="1:21" s="143" customFormat="1" ht="15.95" customHeight="1" thickBot="1" x14ac:dyDescent="0.35">
      <c r="A11" s="140"/>
      <c r="B11" s="141" t="s">
        <v>82</v>
      </c>
      <c r="C11" s="419">
        <v>45351</v>
      </c>
      <c r="D11" s="142" t="s">
        <v>494</v>
      </c>
      <c r="H11" s="144"/>
      <c r="P11" s="108"/>
      <c r="U11" s="144"/>
    </row>
    <row r="12" spans="1:21" s="143" customFormat="1" ht="15.95" customHeight="1" thickBot="1" x14ac:dyDescent="0.35">
      <c r="B12" s="145"/>
      <c r="C12" s="145"/>
      <c r="D12" s="146"/>
      <c r="H12" s="144"/>
      <c r="P12" s="108"/>
      <c r="U12" s="144"/>
    </row>
    <row r="13" spans="1:21" s="143" customFormat="1" ht="15.95" customHeight="1" x14ac:dyDescent="0.3">
      <c r="A13" s="140"/>
      <c r="B13" s="915" t="s">
        <v>91</v>
      </c>
      <c r="C13" s="47" t="s">
        <v>1723</v>
      </c>
      <c r="D13" s="147" t="s">
        <v>493</v>
      </c>
      <c r="E13" s="148"/>
      <c r="F13" s="148"/>
      <c r="G13" s="148"/>
      <c r="H13" s="149"/>
      <c r="I13" s="148"/>
      <c r="J13" s="148"/>
      <c r="K13" s="148"/>
      <c r="P13" s="108"/>
      <c r="U13" s="144"/>
    </row>
    <row r="14" spans="1:21" s="143" customFormat="1" ht="15.95" customHeight="1" thickBot="1" x14ac:dyDescent="0.35">
      <c r="A14" s="140"/>
      <c r="B14" s="916"/>
      <c r="C14" s="48" t="s">
        <v>1765</v>
      </c>
      <c r="D14" s="147" t="s">
        <v>495</v>
      </c>
      <c r="E14" s="148"/>
      <c r="F14" s="148"/>
      <c r="G14" s="148"/>
      <c r="H14" s="149"/>
      <c r="I14" s="148"/>
      <c r="P14" s="108"/>
      <c r="U14" s="144"/>
    </row>
    <row r="15" spans="1:21" ht="15.95" customHeight="1" x14ac:dyDescent="0.3">
      <c r="C15" s="150"/>
      <c r="E15" s="151"/>
    </row>
    <row r="16" spans="1:21" ht="15.95" customHeight="1" x14ac:dyDescent="0.3">
      <c r="C16" s="150"/>
      <c r="E16" s="151"/>
    </row>
    <row r="17" spans="1:21" s="133" customFormat="1" ht="15.95" customHeight="1" x14ac:dyDescent="0.3">
      <c r="B17" s="134" t="s">
        <v>418</v>
      </c>
      <c r="C17" s="135"/>
      <c r="D17" s="136"/>
      <c r="E17" s="136"/>
      <c r="F17" s="136"/>
      <c r="G17" s="136"/>
      <c r="H17" s="153"/>
      <c r="I17" s="136"/>
      <c r="J17" s="136"/>
      <c r="P17" s="138"/>
      <c r="U17" s="139"/>
    </row>
    <row r="18" spans="1:21" ht="15.95" customHeight="1" thickBot="1" x14ac:dyDescent="0.35">
      <c r="B18" s="154"/>
    </row>
    <row r="19" spans="1:21" ht="15.95" customHeight="1" x14ac:dyDescent="0.3">
      <c r="A19" s="102"/>
      <c r="B19" s="909" t="s">
        <v>415</v>
      </c>
      <c r="C19" s="155" t="s">
        <v>49</v>
      </c>
      <c r="D19" s="57" t="s">
        <v>578</v>
      </c>
      <c r="E19" s="108" t="s">
        <v>936</v>
      </c>
    </row>
    <row r="20" spans="1:21" ht="15.95" customHeight="1" x14ac:dyDescent="0.3">
      <c r="A20" s="102"/>
      <c r="B20" s="910"/>
      <c r="C20" s="156" t="s">
        <v>50</v>
      </c>
      <c r="D20" s="157" t="str">
        <f>VLOOKUP(D19,기관명,2,0)</f>
        <v>경원중</v>
      </c>
      <c r="E20" s="108" t="s">
        <v>937</v>
      </c>
    </row>
    <row r="21" spans="1:21" ht="15.95" customHeight="1" x14ac:dyDescent="0.3">
      <c r="A21" s="102"/>
      <c r="B21" s="910"/>
      <c r="C21" s="156" t="s">
        <v>911</v>
      </c>
      <c r="D21" s="58" t="s">
        <v>1042</v>
      </c>
      <c r="E21" s="108" t="s">
        <v>448</v>
      </c>
    </row>
    <row r="22" spans="1:21" ht="15.95" customHeight="1" x14ac:dyDescent="0.3">
      <c r="A22" s="102"/>
      <c r="B22" s="910"/>
      <c r="C22" s="921" t="s">
        <v>51</v>
      </c>
      <c r="D22" s="58" t="s">
        <v>957</v>
      </c>
      <c r="E22" s="108" t="s">
        <v>395</v>
      </c>
    </row>
    <row r="23" spans="1:21" ht="15.95" customHeight="1" x14ac:dyDescent="0.3">
      <c r="A23" s="102"/>
      <c r="B23" s="910"/>
      <c r="C23" s="921"/>
      <c r="D23" s="58" t="s">
        <v>958</v>
      </c>
      <c r="E23" s="108" t="s">
        <v>475</v>
      </c>
    </row>
    <row r="24" spans="1:21" ht="15.95" customHeight="1" x14ac:dyDescent="0.3">
      <c r="A24" s="102"/>
      <c r="B24" s="910"/>
      <c r="C24" s="156" t="s">
        <v>56</v>
      </c>
      <c r="D24" s="59">
        <v>700101</v>
      </c>
      <c r="E24" s="108" t="s">
        <v>57</v>
      </c>
    </row>
    <row r="25" spans="1:21" ht="15.95" customHeight="1" x14ac:dyDescent="0.3">
      <c r="A25" s="102"/>
      <c r="B25" s="910"/>
      <c r="C25" s="770" t="s">
        <v>1780</v>
      </c>
      <c r="D25" s="59" t="s">
        <v>1781</v>
      </c>
      <c r="E25" s="108"/>
    </row>
    <row r="26" spans="1:21" ht="15.95" customHeight="1" x14ac:dyDescent="0.3">
      <c r="A26" s="102"/>
      <c r="B26" s="910"/>
      <c r="C26" s="156" t="s">
        <v>52</v>
      </c>
      <c r="D26" s="58" t="s">
        <v>1777</v>
      </c>
      <c r="E26" s="108" t="s">
        <v>1778</v>
      </c>
    </row>
    <row r="27" spans="1:21" ht="15.95" customHeight="1" x14ac:dyDescent="0.3">
      <c r="A27" s="102"/>
      <c r="B27" s="910"/>
      <c r="C27" s="156" t="s">
        <v>53</v>
      </c>
      <c r="D27" s="58" t="s">
        <v>1788</v>
      </c>
      <c r="E27" s="108" t="s">
        <v>471</v>
      </c>
      <c r="I27" s="158"/>
    </row>
    <row r="28" spans="1:21" ht="15.95" customHeight="1" x14ac:dyDescent="0.3">
      <c r="A28" s="102"/>
      <c r="B28" s="910"/>
      <c r="C28" s="156" t="s">
        <v>538</v>
      </c>
      <c r="D28" s="60" t="s">
        <v>959</v>
      </c>
      <c r="E28" s="108" t="s">
        <v>485</v>
      </c>
    </row>
    <row r="29" spans="1:21" ht="15.95" customHeight="1" x14ac:dyDescent="0.3">
      <c r="A29" s="102"/>
      <c r="B29" s="910"/>
      <c r="C29" s="156" t="s">
        <v>54</v>
      </c>
      <c r="D29" s="61">
        <v>42247</v>
      </c>
      <c r="E29" s="108" t="s">
        <v>567</v>
      </c>
      <c r="I29" s="158"/>
    </row>
    <row r="30" spans="1:21" ht="15.95" customHeight="1" x14ac:dyDescent="0.3">
      <c r="A30" s="102"/>
      <c r="B30" s="910"/>
      <c r="C30" s="383" t="s">
        <v>566</v>
      </c>
      <c r="D30" s="61"/>
      <c r="E30" s="143" t="s">
        <v>912</v>
      </c>
      <c r="G30" s="413" t="s">
        <v>909</v>
      </c>
      <c r="I30" s="412"/>
      <c r="J30" s="412"/>
      <c r="K30" s="412"/>
      <c r="L30" s="143" t="s">
        <v>910</v>
      </c>
      <c r="M30" s="412"/>
      <c r="N30" s="412"/>
      <c r="O30" s="412"/>
    </row>
    <row r="31" spans="1:21" ht="15.95" customHeight="1" x14ac:dyDescent="0.3">
      <c r="A31" s="102"/>
      <c r="B31" s="910"/>
      <c r="C31" s="156" t="s">
        <v>55</v>
      </c>
      <c r="D31" s="384" t="str">
        <f>IF(ISBLANK(D30),"",IF(MONTH($C$11)+1&gt;=MONTH(D30),YEAR($C$11)-YEAR(D30)+(MONTH($C$11)+1-MONTH(D30))*0.01,YEAR($C$11)-YEAR(D30)-1+(12+MONTH($C$11)+1-MONTH(D30))*0.01))</f>
        <v/>
      </c>
      <c r="E31" s="108" t="s">
        <v>913</v>
      </c>
      <c r="I31" s="158"/>
    </row>
    <row r="32" spans="1:21" ht="15.95" customHeight="1" x14ac:dyDescent="0.3">
      <c r="A32" s="102"/>
      <c r="B32" s="910"/>
      <c r="C32" s="156" t="s">
        <v>1100</v>
      </c>
      <c r="D32" s="58"/>
      <c r="E32" s="108" t="s">
        <v>458</v>
      </c>
    </row>
    <row r="33" spans="1:21" ht="15.95" customHeight="1" x14ac:dyDescent="0.3">
      <c r="A33" s="102"/>
      <c r="B33" s="910"/>
      <c r="C33" s="156" t="s">
        <v>58</v>
      </c>
      <c r="D33" s="58"/>
      <c r="E33" s="108" t="s">
        <v>473</v>
      </c>
    </row>
    <row r="34" spans="1:21" ht="15.95" customHeight="1" thickBot="1" x14ac:dyDescent="0.35">
      <c r="A34" s="102"/>
      <c r="B34" s="926"/>
      <c r="C34" s="159" t="s">
        <v>59</v>
      </c>
      <c r="D34" s="70"/>
      <c r="E34" s="108" t="s">
        <v>915</v>
      </c>
    </row>
    <row r="35" spans="1:21" ht="15.95" customHeight="1" x14ac:dyDescent="0.3">
      <c r="A35" s="102"/>
      <c r="B35" s="909" t="s">
        <v>416</v>
      </c>
      <c r="C35" s="155" t="s">
        <v>393</v>
      </c>
      <c r="D35" s="57" t="s">
        <v>979</v>
      </c>
      <c r="E35" s="919" t="s">
        <v>914</v>
      </c>
      <c r="F35" s="160"/>
    </row>
    <row r="36" spans="1:21" ht="15.95" customHeight="1" x14ac:dyDescent="0.3">
      <c r="A36" s="102"/>
      <c r="B36" s="910"/>
      <c r="C36" s="156" t="s">
        <v>394</v>
      </c>
      <c r="D36" s="58" t="s">
        <v>1789</v>
      </c>
      <c r="E36" s="919"/>
      <c r="F36" s="160"/>
    </row>
    <row r="37" spans="1:21" ht="15.95" customHeight="1" thickBot="1" x14ac:dyDescent="0.35">
      <c r="A37" s="102"/>
      <c r="B37" s="911"/>
      <c r="C37" s="161" t="s">
        <v>51</v>
      </c>
      <c r="D37" s="62" t="s">
        <v>1790</v>
      </c>
      <c r="E37" s="919"/>
      <c r="F37" s="160"/>
    </row>
    <row r="38" spans="1:21" ht="15.95" customHeight="1" x14ac:dyDescent="0.3">
      <c r="A38" s="102"/>
      <c r="B38" s="925" t="s">
        <v>417</v>
      </c>
      <c r="C38" s="162" t="s">
        <v>393</v>
      </c>
      <c r="D38" s="71" t="s">
        <v>979</v>
      </c>
      <c r="E38" s="919"/>
      <c r="F38" s="160"/>
    </row>
    <row r="39" spans="1:21" ht="15.95" customHeight="1" x14ac:dyDescent="0.3">
      <c r="A39" s="102"/>
      <c r="B39" s="910"/>
      <c r="C39" s="156" t="s">
        <v>394</v>
      </c>
      <c r="D39" s="58" t="s">
        <v>1791</v>
      </c>
      <c r="E39" s="919"/>
      <c r="F39" s="160"/>
    </row>
    <row r="40" spans="1:21" ht="15.95" customHeight="1" thickBot="1" x14ac:dyDescent="0.35">
      <c r="A40" s="102"/>
      <c r="B40" s="911"/>
      <c r="C40" s="161" t="s">
        <v>51</v>
      </c>
      <c r="D40" s="62" t="s">
        <v>1792</v>
      </c>
      <c r="E40" s="919"/>
      <c r="F40" s="160"/>
    </row>
    <row r="41" spans="1:21" ht="15.95" customHeight="1" x14ac:dyDescent="0.3">
      <c r="D41" s="36"/>
    </row>
    <row r="43" spans="1:21" s="163" customFormat="1" ht="15.95" customHeight="1" x14ac:dyDescent="0.3">
      <c r="B43" s="134" t="s">
        <v>419</v>
      </c>
      <c r="C43" s="164"/>
      <c r="D43" s="134"/>
      <c r="E43" s="134"/>
      <c r="F43" s="134"/>
      <c r="G43" s="134"/>
      <c r="H43" s="165"/>
      <c r="M43" s="166"/>
      <c r="N43" s="166"/>
      <c r="O43" s="166"/>
      <c r="P43" s="138"/>
      <c r="Q43" s="166"/>
      <c r="R43" s="166"/>
      <c r="S43" s="166"/>
      <c r="T43" s="166"/>
      <c r="U43" s="167"/>
    </row>
    <row r="44" spans="1:21" ht="15.95" customHeight="1" thickBot="1" x14ac:dyDescent="0.35">
      <c r="C44" s="107"/>
    </row>
    <row r="45" spans="1:21" ht="15.95" customHeight="1" x14ac:dyDescent="0.3">
      <c r="A45" s="102"/>
      <c r="B45" s="168" t="s">
        <v>931</v>
      </c>
      <c r="C45" s="169" t="s">
        <v>932</v>
      </c>
      <c r="D45" s="169" t="s">
        <v>60</v>
      </c>
      <c r="E45" s="169" t="s">
        <v>61</v>
      </c>
      <c r="F45" s="169" t="s">
        <v>62</v>
      </c>
      <c r="G45" s="170" t="s">
        <v>410</v>
      </c>
      <c r="H45" s="107"/>
      <c r="I45" s="171">
        <f>MATCH(MAX(K45:T45),K45:T45,0)</f>
        <v>1</v>
      </c>
      <c r="K45" s="172">
        <f>SUM(K46:K50)</f>
        <v>99.8</v>
      </c>
      <c r="L45" s="173">
        <f t="shared" ref="L45:S45" si="0">SUM(L46:L50)</f>
        <v>66.866</v>
      </c>
      <c r="M45" s="173">
        <f t="shared" si="0"/>
        <v>66.866</v>
      </c>
      <c r="N45" s="173">
        <f t="shared" si="0"/>
        <v>66.866</v>
      </c>
      <c r="O45" s="173">
        <f t="shared" si="0"/>
        <v>66.866</v>
      </c>
      <c r="P45" s="173">
        <f t="shared" si="0"/>
        <v>33.932000000000002</v>
      </c>
      <c r="Q45" s="173">
        <f t="shared" si="0"/>
        <v>66.866</v>
      </c>
      <c r="R45" s="173">
        <f t="shared" si="0"/>
        <v>66.866</v>
      </c>
      <c r="S45" s="173">
        <f t="shared" si="0"/>
        <v>33.932000000000002</v>
      </c>
      <c r="T45" s="174">
        <f>SUM(T46:T50)</f>
        <v>33.932000000000002</v>
      </c>
    </row>
    <row r="46" spans="1:21" ht="15.95" customHeight="1" x14ac:dyDescent="0.3">
      <c r="A46" s="102"/>
      <c r="B46" s="411">
        <f>YEAR(C11)-1</f>
        <v>2023</v>
      </c>
      <c r="C46" s="45" t="s">
        <v>979</v>
      </c>
      <c r="D46" s="46">
        <v>99.8</v>
      </c>
      <c r="E46" s="176" t="str">
        <f>IF(I45&lt;7,"34%","-")</f>
        <v>34%</v>
      </c>
      <c r="F46" s="177">
        <f>IF(E46&lt;&gt;"-",ROUND(D46*E46,3),"-")</f>
        <v>33.932000000000002</v>
      </c>
      <c r="G46" s="923">
        <f>SUM(F46:F50)</f>
        <v>99.8</v>
      </c>
      <c r="H46" s="178"/>
      <c r="K46" s="179">
        <f>D46*0.34</f>
        <v>33.932000000000002</v>
      </c>
      <c r="L46" s="180">
        <f>D46*0.34</f>
        <v>33.932000000000002</v>
      </c>
      <c r="M46" s="180">
        <f>D46*0.34</f>
        <v>33.932000000000002</v>
      </c>
      <c r="N46" s="180">
        <f>D46*0.34</f>
        <v>33.932000000000002</v>
      </c>
      <c r="O46" s="180">
        <f>D46*0.34</f>
        <v>33.932000000000002</v>
      </c>
      <c r="P46" s="180">
        <f>D46*0.34</f>
        <v>33.932000000000002</v>
      </c>
      <c r="Q46" s="181" t="s">
        <v>78</v>
      </c>
      <c r="R46" s="181" t="s">
        <v>78</v>
      </c>
      <c r="S46" s="181" t="s">
        <v>78</v>
      </c>
      <c r="T46" s="182" t="s">
        <v>78</v>
      </c>
    </row>
    <row r="47" spans="1:21" ht="15.95" customHeight="1" x14ac:dyDescent="0.3">
      <c r="A47" s="102"/>
      <c r="B47" s="175">
        <f>B46-1</f>
        <v>2022</v>
      </c>
      <c r="C47" s="45" t="s">
        <v>979</v>
      </c>
      <c r="D47" s="46">
        <v>99.8</v>
      </c>
      <c r="E47" s="176" t="str">
        <f>IF(OR(I45=7,I45=8,I45=9),"34%",IF(OR(I45=1,I45=2,I45=3),"33%","-"))</f>
        <v>33%</v>
      </c>
      <c r="F47" s="177">
        <f t="shared" ref="F47:F50" si="1">IF(E47&lt;&gt;"-",ROUND(D47*E47,3),"-")</f>
        <v>32.933999999999997</v>
      </c>
      <c r="G47" s="923"/>
      <c r="H47" s="178"/>
      <c r="I47" s="140" t="s">
        <v>933</v>
      </c>
      <c r="K47" s="179">
        <f>D47*0.33</f>
        <v>32.933999999999997</v>
      </c>
      <c r="L47" s="180">
        <f>D47*0.33</f>
        <v>32.933999999999997</v>
      </c>
      <c r="M47" s="180">
        <f>D47*0.33</f>
        <v>32.933999999999997</v>
      </c>
      <c r="N47" s="181" t="s">
        <v>78</v>
      </c>
      <c r="O47" s="181" t="s">
        <v>78</v>
      </c>
      <c r="P47" s="181" t="s">
        <v>78</v>
      </c>
      <c r="Q47" s="180">
        <f>D47*0.34</f>
        <v>33.932000000000002</v>
      </c>
      <c r="R47" s="180">
        <f>D47*0.34</f>
        <v>33.932000000000002</v>
      </c>
      <c r="S47" s="180">
        <f>D47*0.34</f>
        <v>33.932000000000002</v>
      </c>
      <c r="T47" s="182" t="s">
        <v>408</v>
      </c>
    </row>
    <row r="48" spans="1:21" ht="15.95" customHeight="1" x14ac:dyDescent="0.3">
      <c r="A48" s="102"/>
      <c r="B48" s="175">
        <f>B46-2</f>
        <v>2021</v>
      </c>
      <c r="C48" s="45" t="s">
        <v>979</v>
      </c>
      <c r="D48" s="46">
        <v>99.8</v>
      </c>
      <c r="E48" s="176" t="str">
        <f>IF(I45=10,"34%",IF(OR(I45=4,I45=5,I45=7,I45=8),"33%",IF(I45=1,"33%","-")))</f>
        <v>33%</v>
      </c>
      <c r="F48" s="177">
        <f t="shared" si="1"/>
        <v>32.933999999999997</v>
      </c>
      <c r="G48" s="923"/>
      <c r="H48" s="178"/>
      <c r="I48" s="140" t="s">
        <v>935</v>
      </c>
      <c r="K48" s="179">
        <f>D48*0.33</f>
        <v>32.933999999999997</v>
      </c>
      <c r="L48" s="181" t="s">
        <v>78</v>
      </c>
      <c r="M48" s="181" t="s">
        <v>78</v>
      </c>
      <c r="N48" s="180">
        <f>D48*0.33</f>
        <v>32.933999999999997</v>
      </c>
      <c r="O48" s="180">
        <f>D48*0.33</f>
        <v>32.933999999999997</v>
      </c>
      <c r="P48" s="181" t="s">
        <v>78</v>
      </c>
      <c r="Q48" s="180">
        <f>D48*0.33</f>
        <v>32.933999999999997</v>
      </c>
      <c r="R48" s="180">
        <f>D48*0.33</f>
        <v>32.933999999999997</v>
      </c>
      <c r="S48" s="181" t="s">
        <v>78</v>
      </c>
      <c r="T48" s="183">
        <f>D48*0.34</f>
        <v>33.932000000000002</v>
      </c>
    </row>
    <row r="49" spans="1:24" ht="15.95" customHeight="1" x14ac:dyDescent="0.3">
      <c r="A49" s="102"/>
      <c r="B49" s="175">
        <f>B46-3</f>
        <v>2020</v>
      </c>
      <c r="C49" s="45"/>
      <c r="D49" s="46"/>
      <c r="E49" s="176" t="str">
        <f>IF(OR(I45=6,I45=9,I45=10),"33%",IF(OR(I45=2,I45=4,I45=7),"33%","-"))</f>
        <v>-</v>
      </c>
      <c r="F49" s="177" t="str">
        <f t="shared" si="1"/>
        <v>-</v>
      </c>
      <c r="G49" s="923"/>
      <c r="H49" s="178"/>
      <c r="I49" s="140" t="s">
        <v>934</v>
      </c>
      <c r="K49" s="184" t="s">
        <v>78</v>
      </c>
      <c r="L49" s="180">
        <f>D49*0.33</f>
        <v>0</v>
      </c>
      <c r="M49" s="181" t="s">
        <v>78</v>
      </c>
      <c r="N49" s="180">
        <f>D49*0.33</f>
        <v>0</v>
      </c>
      <c r="O49" s="181" t="s">
        <v>78</v>
      </c>
      <c r="P49" s="180">
        <f>D49*0.33</f>
        <v>0</v>
      </c>
      <c r="Q49" s="180">
        <f>D49*0.33</f>
        <v>0</v>
      </c>
      <c r="R49" s="181" t="s">
        <v>78</v>
      </c>
      <c r="S49" s="180">
        <f>D49*0.33</f>
        <v>0</v>
      </c>
      <c r="T49" s="183">
        <f>D49*0.33</f>
        <v>0</v>
      </c>
    </row>
    <row r="50" spans="1:24" ht="15.95" customHeight="1" thickBot="1" x14ac:dyDescent="0.35">
      <c r="A50" s="102"/>
      <c r="B50" s="185">
        <f>B46-4</f>
        <v>2019</v>
      </c>
      <c r="C50" s="50"/>
      <c r="D50" s="49"/>
      <c r="E50" s="186" t="str">
        <f>IF(OR(I45=3,I45=5,I45=6,I45=8,I45=9,I45=10),"33%","-")</f>
        <v>-</v>
      </c>
      <c r="F50" s="187" t="str">
        <f t="shared" si="1"/>
        <v>-</v>
      </c>
      <c r="G50" s="924"/>
      <c r="H50" s="178"/>
      <c r="I50" s="102"/>
      <c r="K50" s="188" t="s">
        <v>78</v>
      </c>
      <c r="L50" s="189" t="s">
        <v>78</v>
      </c>
      <c r="M50" s="190">
        <f>D50*0.33</f>
        <v>0</v>
      </c>
      <c r="N50" s="189" t="s">
        <v>78</v>
      </c>
      <c r="O50" s="190">
        <f>D50*0.33</f>
        <v>0</v>
      </c>
      <c r="P50" s="190">
        <f>D50*0.33</f>
        <v>0</v>
      </c>
      <c r="Q50" s="189" t="s">
        <v>78</v>
      </c>
      <c r="R50" s="190">
        <f>D50*0.33</f>
        <v>0</v>
      </c>
      <c r="S50" s="190">
        <f>D50*0.33</f>
        <v>0</v>
      </c>
      <c r="T50" s="191">
        <f>D50*0.33</f>
        <v>0</v>
      </c>
    </row>
    <row r="51" spans="1:24" ht="15.95" customHeight="1" x14ac:dyDescent="0.3">
      <c r="C51" s="37"/>
      <c r="D51" s="36"/>
    </row>
    <row r="53" spans="1:24" s="163" customFormat="1" ht="15.95" customHeight="1" x14ac:dyDescent="0.3">
      <c r="B53" s="134" t="s">
        <v>420</v>
      </c>
      <c r="C53" s="192" t="s">
        <v>510</v>
      </c>
      <c r="D53" s="193"/>
      <c r="E53" s="134"/>
      <c r="F53" s="134"/>
      <c r="G53" s="134"/>
      <c r="H53" s="194"/>
      <c r="I53" s="134"/>
      <c r="K53" s="586" t="s">
        <v>1774</v>
      </c>
      <c r="M53" s="166"/>
      <c r="N53" s="166"/>
      <c r="O53" s="166"/>
      <c r="P53" s="586" t="s">
        <v>1775</v>
      </c>
      <c r="Q53" s="166"/>
      <c r="R53" s="166"/>
      <c r="S53" s="166"/>
      <c r="T53" s="166"/>
      <c r="U53" s="167"/>
    </row>
    <row r="54" spans="1:24" ht="15.95" customHeight="1" thickBot="1" x14ac:dyDescent="0.35">
      <c r="D54" s="143"/>
      <c r="T54" s="108" t="s">
        <v>519</v>
      </c>
    </row>
    <row r="55" spans="1:24" ht="15.95" customHeight="1" x14ac:dyDescent="0.3">
      <c r="B55" s="902" t="s">
        <v>25</v>
      </c>
      <c r="C55" s="903"/>
      <c r="D55" s="195" t="s">
        <v>26</v>
      </c>
      <c r="E55" s="900" t="s">
        <v>514</v>
      </c>
      <c r="F55" s="901"/>
      <c r="G55" s="195" t="s">
        <v>407</v>
      </c>
      <c r="H55" s="195" t="s">
        <v>374</v>
      </c>
      <c r="I55" s="196" t="s">
        <v>515</v>
      </c>
      <c r="J55" s="197" t="s">
        <v>516</v>
      </c>
      <c r="K55" s="196" t="s">
        <v>517</v>
      </c>
      <c r="L55" s="609" t="s">
        <v>518</v>
      </c>
      <c r="N55" s="199" t="s">
        <v>435</v>
      </c>
      <c r="O55" s="611" t="s">
        <v>376</v>
      </c>
      <c r="P55" s="201" t="s">
        <v>513</v>
      </c>
      <c r="Q55" s="611" t="s">
        <v>379</v>
      </c>
      <c r="R55" s="612" t="s">
        <v>436</v>
      </c>
      <c r="T55" s="108" t="s">
        <v>520</v>
      </c>
      <c r="U55" s="107"/>
      <c r="X55" s="109"/>
    </row>
    <row r="56" spans="1:24" ht="15.95" customHeight="1" x14ac:dyDescent="0.3">
      <c r="A56" s="102"/>
      <c r="B56" s="904"/>
      <c r="C56" s="905"/>
      <c r="D56" s="202" t="s">
        <v>496</v>
      </c>
      <c r="E56" s="414">
        <v>39873</v>
      </c>
      <c r="F56" s="414">
        <v>45351</v>
      </c>
      <c r="G56" s="203">
        <v>1</v>
      </c>
      <c r="H56" s="204">
        <f t="shared" ref="H56:H70" si="2">IF(P56="","",INT((O56+P56+Q56+IF(SUM(N56,R56)&gt;29,1,0))*G56))</f>
        <v>180</v>
      </c>
      <c r="I56" s="204">
        <f t="shared" ref="I56:I70" si="3">IF(OR(N56="",R56=""),"",IF(SUM(N56,R56)&gt;=30,ROUND((SUM(N56,R56)-30)*G56,0),ROUND(SUM(N56,R56)*G56,0))+IF(AND(G56=0.5,ISODD(O56+P56+Q56)),15,0))</f>
        <v>0</v>
      </c>
      <c r="J56" s="205">
        <f>IF(H56="","",H56*0.3555)</f>
        <v>63.989999999999995</v>
      </c>
      <c r="K56" s="205">
        <f>IF(I56="","",I56*0.0118)</f>
        <v>0</v>
      </c>
      <c r="L56" s="206">
        <f>IF(OR(J56="",K56=""),"",IF(H56=180,64,SUM(J56:K56)))</f>
        <v>64</v>
      </c>
      <c r="M56" s="112" t="s">
        <v>523</v>
      </c>
      <c r="N56" s="207">
        <f t="shared" ref="N56:N70" si="4">IF(ISBLANK(E56),"",IF(AND(YEAR(E56)=YEAR(F56),MONTH(E56)=MONTH(F56)),DAY(F56)-DAY(E56)+1,IF(DAY(E56)=1,0,DAY(DATE(YEAR(E56),MONTH(E56)+1,0))-DAY(E56)+1)))</f>
        <v>0</v>
      </c>
      <c r="O56" s="208">
        <f t="shared" ref="O56:O70" si="5">IF(ISBLANK(E56),"",IF(AND(YEAR(E56)=YEAR(F56),MONTH(E56)=MONTH(F56)),0,IF(DAY(E56)=1,1,0)))</f>
        <v>1</v>
      </c>
      <c r="P56" s="209">
        <f t="shared" ref="P56:P70" si="6">IF(OR(F56="",E56=""),"",IF(AND(YEAR(E56)=YEAR(F56),MONTH(E56)=MONTH(F56)),0,DATEDIF(E56,F56,"M")-IF(DAY(E56)&lt;=DAY(F56),1,0)))</f>
        <v>178</v>
      </c>
      <c r="Q56" s="208">
        <f t="shared" ref="Q56:Q70" si="7">IF(ISBLANK(F56),"",IF(AND(YEAR(E56)=YEAR(F56),MONTH(E56)=MONTH(F56)),0,IF(DAY(F56)=DAY(DATE(YEAR(F56),MONTH(F56)+1,0)),1,0)))</f>
        <v>1</v>
      </c>
      <c r="R56" s="210">
        <f t="shared" ref="R56:R70" si="8">IF(ISBLANK(F56),"",IF(AND(YEAR(E56)=YEAR(F56),MONTH(E56)=MONTH(F56)),0,IF(DAY(F56)=DAY(DATE(YEAR(F56),MONTH(F56)+1,0)),0,DAY(F56))))</f>
        <v>0</v>
      </c>
      <c r="T56" s="108" t="s">
        <v>521</v>
      </c>
      <c r="U56" s="107"/>
      <c r="X56" s="109"/>
    </row>
    <row r="57" spans="1:24" ht="15.95" customHeight="1" x14ac:dyDescent="0.3">
      <c r="A57" s="102"/>
      <c r="B57" s="913" t="s">
        <v>1685</v>
      </c>
      <c r="C57" s="917" t="s">
        <v>28</v>
      </c>
      <c r="D57" s="385"/>
      <c r="E57" s="399"/>
      <c r="F57" s="399"/>
      <c r="G57" s="63"/>
      <c r="H57" s="211" t="str">
        <f t="shared" si="2"/>
        <v/>
      </c>
      <c r="I57" s="211" t="str">
        <f t="shared" si="3"/>
        <v/>
      </c>
      <c r="J57" s="212" t="str">
        <f>IF(H57="","",H57*0.3555)</f>
        <v/>
      </c>
      <c r="K57" s="212" t="str">
        <f>IF(I57="","",I57*0.0118)</f>
        <v/>
      </c>
      <c r="L57" s="213" t="str">
        <f>IF(OR(J57="",K57=""),"",IF(H57=180,64,SUM(J57:K57)))</f>
        <v/>
      </c>
      <c r="M57" s="102"/>
      <c r="N57" s="214" t="str">
        <f t="shared" si="4"/>
        <v/>
      </c>
      <c r="O57" s="215" t="str">
        <f t="shared" si="5"/>
        <v/>
      </c>
      <c r="P57" s="216" t="str">
        <f t="shared" si="6"/>
        <v/>
      </c>
      <c r="Q57" s="215" t="str">
        <f t="shared" si="7"/>
        <v/>
      </c>
      <c r="R57" s="217" t="str">
        <f t="shared" si="8"/>
        <v/>
      </c>
      <c r="T57" s="108" t="s">
        <v>522</v>
      </c>
      <c r="U57" s="107"/>
      <c r="X57" s="109"/>
    </row>
    <row r="58" spans="1:24" ht="15.95" customHeight="1" x14ac:dyDescent="0.3">
      <c r="A58" s="102"/>
      <c r="B58" s="913"/>
      <c r="C58" s="917"/>
      <c r="D58" s="385"/>
      <c r="E58" s="399"/>
      <c r="F58" s="399"/>
      <c r="G58" s="63"/>
      <c r="H58" s="211" t="str">
        <f t="shared" si="2"/>
        <v/>
      </c>
      <c r="I58" s="211" t="str">
        <f t="shared" si="3"/>
        <v/>
      </c>
      <c r="J58" s="212" t="str">
        <f>IF(H58="","",H58*0.3555)</f>
        <v/>
      </c>
      <c r="K58" s="212" t="str">
        <f>IF(I58="","",I58*0.0118)</f>
        <v/>
      </c>
      <c r="L58" s="213" t="str">
        <f>IF(OR(J58="",K58=""),"",IF(H58=180,64,SUM(J58:K58)))</f>
        <v/>
      </c>
      <c r="M58" s="102"/>
      <c r="N58" s="214" t="str">
        <f t="shared" si="4"/>
        <v/>
      </c>
      <c r="O58" s="215" t="str">
        <f t="shared" si="5"/>
        <v/>
      </c>
      <c r="P58" s="216" t="str">
        <f t="shared" si="6"/>
        <v/>
      </c>
      <c r="Q58" s="215" t="str">
        <f t="shared" si="7"/>
        <v/>
      </c>
      <c r="R58" s="217" t="str">
        <f t="shared" si="8"/>
        <v/>
      </c>
      <c r="U58" s="107"/>
    </row>
    <row r="59" spans="1:24" ht="15.95" customHeight="1" thickBot="1" x14ac:dyDescent="0.35">
      <c r="A59" s="102"/>
      <c r="B59" s="913"/>
      <c r="C59" s="917"/>
      <c r="D59" s="41"/>
      <c r="E59" s="399"/>
      <c r="F59" s="399"/>
      <c r="G59" s="63"/>
      <c r="H59" s="211" t="str">
        <f t="shared" si="2"/>
        <v/>
      </c>
      <c r="I59" s="211" t="str">
        <f t="shared" si="3"/>
        <v/>
      </c>
      <c r="J59" s="212" t="str">
        <f>IF(H59="","",H59*0.3555)</f>
        <v/>
      </c>
      <c r="K59" s="212" t="str">
        <f>IF(I59="","",I59*0.0118)</f>
        <v/>
      </c>
      <c r="L59" s="213" t="str">
        <f>IF(OR(J59="",K59=""),"",IF(H59=180,64,SUM(J59:K59)))</f>
        <v/>
      </c>
      <c r="M59" s="102"/>
      <c r="N59" s="214" t="str">
        <f t="shared" si="4"/>
        <v/>
      </c>
      <c r="O59" s="215" t="str">
        <f t="shared" si="5"/>
        <v/>
      </c>
      <c r="P59" s="216" t="str">
        <f t="shared" si="6"/>
        <v/>
      </c>
      <c r="Q59" s="215" t="str">
        <f t="shared" si="7"/>
        <v/>
      </c>
      <c r="R59" s="217" t="str">
        <f t="shared" si="8"/>
        <v/>
      </c>
      <c r="S59" s="108"/>
      <c r="T59" s="146" t="s">
        <v>476</v>
      </c>
      <c r="U59" s="218"/>
      <c r="V59" s="132"/>
      <c r="W59" s="132"/>
      <c r="X59" s="219"/>
    </row>
    <row r="60" spans="1:24" ht="15.95" customHeight="1" x14ac:dyDescent="0.3">
      <c r="A60" s="102"/>
      <c r="B60" s="913"/>
      <c r="C60" s="917" t="s">
        <v>29</v>
      </c>
      <c r="D60" s="385"/>
      <c r="E60" s="399"/>
      <c r="F60" s="399"/>
      <c r="G60" s="63"/>
      <c r="H60" s="211" t="str">
        <f t="shared" si="2"/>
        <v/>
      </c>
      <c r="I60" s="211" t="str">
        <f t="shared" si="3"/>
        <v/>
      </c>
      <c r="J60" s="212" t="str">
        <f>IF(H60="","",H60*0.3333)</f>
        <v/>
      </c>
      <c r="K60" s="212" t="str">
        <f>IF(I60="","",I60*0.0111)</f>
        <v/>
      </c>
      <c r="L60" s="213" t="str">
        <f>IF(OR(J60="",K60=""),"",IF(H60=180,60,SUM(J60:K60)))</f>
        <v/>
      </c>
      <c r="M60" s="102"/>
      <c r="N60" s="214" t="str">
        <f t="shared" si="4"/>
        <v/>
      </c>
      <c r="O60" s="215" t="str">
        <f t="shared" si="5"/>
        <v/>
      </c>
      <c r="P60" s="216" t="str">
        <f t="shared" si="6"/>
        <v/>
      </c>
      <c r="Q60" s="215" t="str">
        <f t="shared" si="7"/>
        <v/>
      </c>
      <c r="R60" s="217" t="str">
        <f t="shared" si="8"/>
        <v/>
      </c>
      <c r="S60" s="108"/>
      <c r="T60" s="610" t="s">
        <v>44</v>
      </c>
      <c r="U60" s="611" t="s">
        <v>84</v>
      </c>
      <c r="V60" s="200" t="s">
        <v>80</v>
      </c>
      <c r="W60" s="200" t="s">
        <v>85</v>
      </c>
      <c r="X60" s="220" t="s">
        <v>409</v>
      </c>
    </row>
    <row r="61" spans="1:24" ht="15.95" customHeight="1" x14ac:dyDescent="0.3">
      <c r="A61" s="102"/>
      <c r="B61" s="913"/>
      <c r="C61" s="917"/>
      <c r="D61" s="41"/>
      <c r="E61" s="399"/>
      <c r="F61" s="399"/>
      <c r="G61" s="63"/>
      <c r="H61" s="211" t="str">
        <f t="shared" si="2"/>
        <v/>
      </c>
      <c r="I61" s="211" t="str">
        <f t="shared" si="3"/>
        <v/>
      </c>
      <c r="J61" s="212" t="str">
        <f>IF(H61="","",H61*0.3333)</f>
        <v/>
      </c>
      <c r="K61" s="212" t="str">
        <f>IF(I61="","",I61*0.0111)</f>
        <v/>
      </c>
      <c r="L61" s="213" t="str">
        <f>IF(OR(J61="",K61=""),"",IF(H61=180,60,SUM(J61:K61)))</f>
        <v/>
      </c>
      <c r="M61" s="102"/>
      <c r="N61" s="214" t="str">
        <f t="shared" si="4"/>
        <v/>
      </c>
      <c r="O61" s="215" t="str">
        <f t="shared" si="5"/>
        <v/>
      </c>
      <c r="P61" s="216" t="str">
        <f t="shared" si="6"/>
        <v/>
      </c>
      <c r="Q61" s="215" t="str">
        <f t="shared" si="7"/>
        <v/>
      </c>
      <c r="R61" s="217" t="str">
        <f t="shared" si="8"/>
        <v/>
      </c>
      <c r="S61" s="108"/>
      <c r="T61" s="838" t="s">
        <v>86</v>
      </c>
      <c r="U61" s="221" t="s">
        <v>28</v>
      </c>
      <c r="V61" s="221">
        <v>64</v>
      </c>
      <c r="W61" s="222">
        <v>0.35549999999999998</v>
      </c>
      <c r="X61" s="223">
        <v>1.18E-2</v>
      </c>
    </row>
    <row r="62" spans="1:24" ht="15.95" customHeight="1" x14ac:dyDescent="0.3">
      <c r="A62" s="102"/>
      <c r="B62" s="913"/>
      <c r="C62" s="917" t="s">
        <v>30</v>
      </c>
      <c r="D62" s="41"/>
      <c r="E62" s="399"/>
      <c r="F62" s="399"/>
      <c r="G62" s="63"/>
      <c r="H62" s="211" t="str">
        <f t="shared" si="2"/>
        <v/>
      </c>
      <c r="I62" s="211" t="str">
        <f t="shared" si="3"/>
        <v/>
      </c>
      <c r="J62" s="212" t="str">
        <f>IF(H62="","",H62*0.3111)</f>
        <v/>
      </c>
      <c r="K62" s="212" t="str">
        <f>IF(I62="","",I62*0.0103)</f>
        <v/>
      </c>
      <c r="L62" s="213" t="str">
        <f>IF(OR(J62="",K62=""),"",IF(H62=180,56,SUM(J62:K62)))</f>
        <v/>
      </c>
      <c r="M62" s="102"/>
      <c r="N62" s="214" t="str">
        <f t="shared" si="4"/>
        <v/>
      </c>
      <c r="O62" s="215" t="str">
        <f t="shared" si="5"/>
        <v/>
      </c>
      <c r="P62" s="216" t="str">
        <f t="shared" si="6"/>
        <v/>
      </c>
      <c r="Q62" s="215" t="str">
        <f t="shared" si="7"/>
        <v/>
      </c>
      <c r="R62" s="217" t="str">
        <f t="shared" si="8"/>
        <v/>
      </c>
      <c r="S62" s="224"/>
      <c r="T62" s="839"/>
      <c r="U62" s="221" t="s">
        <v>29</v>
      </c>
      <c r="V62" s="221">
        <v>60</v>
      </c>
      <c r="W62" s="222">
        <v>0.33329999999999999</v>
      </c>
      <c r="X62" s="223">
        <v>1.11E-2</v>
      </c>
    </row>
    <row r="63" spans="1:24" ht="15.95" customHeight="1" thickBot="1" x14ac:dyDescent="0.35">
      <c r="A63" s="102"/>
      <c r="B63" s="914"/>
      <c r="C63" s="918"/>
      <c r="D63" s="53"/>
      <c r="E63" s="401"/>
      <c r="F63" s="401"/>
      <c r="G63" s="64"/>
      <c r="H63" s="225" t="str">
        <f t="shared" si="2"/>
        <v/>
      </c>
      <c r="I63" s="225" t="str">
        <f t="shared" si="3"/>
        <v/>
      </c>
      <c r="J63" s="226" t="str">
        <f>IF(H63="","",H63*0.3111)</f>
        <v/>
      </c>
      <c r="K63" s="226" t="str">
        <f>IF(I63="","",I63*0.0103)</f>
        <v/>
      </c>
      <c r="L63" s="227" t="str">
        <f>IF(OR(J63="",K63=""),"",IF(H63=180,56,SUM(J63:K63)))</f>
        <v/>
      </c>
      <c r="M63" s="102"/>
      <c r="N63" s="214" t="str">
        <f t="shared" si="4"/>
        <v/>
      </c>
      <c r="O63" s="215" t="str">
        <f t="shared" si="5"/>
        <v/>
      </c>
      <c r="P63" s="216" t="str">
        <f t="shared" si="6"/>
        <v/>
      </c>
      <c r="Q63" s="215" t="str">
        <f t="shared" si="7"/>
        <v/>
      </c>
      <c r="R63" s="217" t="str">
        <f t="shared" si="8"/>
        <v/>
      </c>
      <c r="S63" s="224"/>
      <c r="T63" s="840"/>
      <c r="U63" s="228" t="s">
        <v>30</v>
      </c>
      <c r="V63" s="228">
        <v>56</v>
      </c>
      <c r="W63" s="229">
        <v>0.31109999999999999</v>
      </c>
      <c r="X63" s="230">
        <v>1.03E-2</v>
      </c>
    </row>
    <row r="64" spans="1:24" ht="15.95" customHeight="1" x14ac:dyDescent="0.3">
      <c r="A64" s="102"/>
      <c r="B64" s="912" t="s">
        <v>1686</v>
      </c>
      <c r="C64" s="927" t="s">
        <v>28</v>
      </c>
      <c r="D64" s="65"/>
      <c r="E64" s="400"/>
      <c r="F64" s="400"/>
      <c r="G64" s="66"/>
      <c r="H64" s="231" t="str">
        <f t="shared" si="2"/>
        <v/>
      </c>
      <c r="I64" s="231" t="str">
        <f t="shared" si="3"/>
        <v/>
      </c>
      <c r="J64" s="232" t="str">
        <f>IF(H64="","",H64*0.1)</f>
        <v/>
      </c>
      <c r="K64" s="232" t="str">
        <f>IF(I64="","",I64*0.0033)</f>
        <v/>
      </c>
      <c r="L64" s="233" t="str">
        <f>IF(OR(J64="",K64=""),"",IF(H64=60,6,SUM(J64:K64)))</f>
        <v/>
      </c>
      <c r="M64" s="102"/>
      <c r="N64" s="234" t="str">
        <f t="shared" si="4"/>
        <v/>
      </c>
      <c r="O64" s="235" t="str">
        <f t="shared" si="5"/>
        <v/>
      </c>
      <c r="P64" s="236" t="str">
        <f t="shared" si="6"/>
        <v/>
      </c>
      <c r="Q64" s="235" t="str">
        <f t="shared" si="7"/>
        <v/>
      </c>
      <c r="R64" s="237" t="str">
        <f t="shared" si="8"/>
        <v/>
      </c>
      <c r="S64" s="224"/>
      <c r="T64" s="841" t="s">
        <v>87</v>
      </c>
      <c r="U64" s="238" t="s">
        <v>28</v>
      </c>
      <c r="V64" s="238">
        <v>6</v>
      </c>
      <c r="W64" s="239">
        <v>0.1</v>
      </c>
      <c r="X64" s="240">
        <v>3.3E-3</v>
      </c>
    </row>
    <row r="65" spans="1:24" ht="15.95" customHeight="1" x14ac:dyDescent="0.3">
      <c r="A65" s="102"/>
      <c r="B65" s="913"/>
      <c r="C65" s="917"/>
      <c r="D65" s="41"/>
      <c r="E65" s="399"/>
      <c r="F65" s="399"/>
      <c r="G65" s="63"/>
      <c r="H65" s="211" t="str">
        <f t="shared" si="2"/>
        <v/>
      </c>
      <c r="I65" s="211" t="str">
        <f t="shared" si="3"/>
        <v/>
      </c>
      <c r="J65" s="212" t="str">
        <f>IF(H65="","",H65*0.1)</f>
        <v/>
      </c>
      <c r="K65" s="212" t="str">
        <f>IF(I65="","",I65*0.0033)</f>
        <v/>
      </c>
      <c r="L65" s="213" t="str">
        <f>IF(OR(J65="",K65=""),"",IF(H65=60,6,SUM(J65:K65)))</f>
        <v/>
      </c>
      <c r="M65" s="102"/>
      <c r="N65" s="214" t="str">
        <f t="shared" si="4"/>
        <v/>
      </c>
      <c r="O65" s="215" t="str">
        <f t="shared" si="5"/>
        <v/>
      </c>
      <c r="P65" s="216" t="str">
        <f t="shared" si="6"/>
        <v/>
      </c>
      <c r="Q65" s="215" t="str">
        <f t="shared" si="7"/>
        <v/>
      </c>
      <c r="R65" s="217" t="str">
        <f t="shared" si="8"/>
        <v/>
      </c>
      <c r="S65" s="224"/>
      <c r="T65" s="839"/>
      <c r="U65" s="221" t="s">
        <v>29</v>
      </c>
      <c r="V65" s="221">
        <v>5</v>
      </c>
      <c r="W65" s="222">
        <v>8.3299999999999999E-2</v>
      </c>
      <c r="X65" s="223">
        <v>2.7000000000000001E-3</v>
      </c>
    </row>
    <row r="66" spans="1:24" ht="15.95" customHeight="1" thickBot="1" x14ac:dyDescent="0.35">
      <c r="A66" s="102"/>
      <c r="B66" s="913"/>
      <c r="C66" s="917"/>
      <c r="D66" s="41"/>
      <c r="E66" s="399"/>
      <c r="F66" s="399"/>
      <c r="G66" s="63"/>
      <c r="H66" s="211" t="str">
        <f t="shared" si="2"/>
        <v/>
      </c>
      <c r="I66" s="211" t="str">
        <f t="shared" si="3"/>
        <v/>
      </c>
      <c r="J66" s="212" t="str">
        <f>IF(H66="","",H66*0.1)</f>
        <v/>
      </c>
      <c r="K66" s="212" t="str">
        <f>IF(I66="","",I66*0.0033)</f>
        <v/>
      </c>
      <c r="L66" s="213" t="str">
        <f>IF(OR(J66="",K66=""),"",IF(H66=60,6,SUM(J66:K66)))</f>
        <v/>
      </c>
      <c r="M66" s="102"/>
      <c r="N66" s="214" t="str">
        <f t="shared" si="4"/>
        <v/>
      </c>
      <c r="O66" s="215" t="str">
        <f t="shared" si="5"/>
        <v/>
      </c>
      <c r="P66" s="216" t="str">
        <f t="shared" si="6"/>
        <v/>
      </c>
      <c r="Q66" s="215" t="str">
        <f t="shared" si="7"/>
        <v/>
      </c>
      <c r="R66" s="217" t="str">
        <f t="shared" si="8"/>
        <v/>
      </c>
      <c r="S66" s="108"/>
      <c r="T66" s="840"/>
      <c r="U66" s="228" t="s">
        <v>30</v>
      </c>
      <c r="V66" s="228">
        <v>4</v>
      </c>
      <c r="W66" s="229">
        <v>6.6600000000000006E-2</v>
      </c>
      <c r="X66" s="230">
        <v>2.2000000000000001E-3</v>
      </c>
    </row>
    <row r="67" spans="1:24" ht="15.95" customHeight="1" x14ac:dyDescent="0.3">
      <c r="A67" s="102"/>
      <c r="B67" s="913"/>
      <c r="C67" s="917" t="s">
        <v>29</v>
      </c>
      <c r="D67" s="385"/>
      <c r="E67" s="399"/>
      <c r="F67" s="399"/>
      <c r="G67" s="63"/>
      <c r="H67" s="211" t="str">
        <f t="shared" si="2"/>
        <v/>
      </c>
      <c r="I67" s="211" t="str">
        <f t="shared" si="3"/>
        <v/>
      </c>
      <c r="J67" s="212" t="str">
        <f>IF(H67="","",H67*0.0833)</f>
        <v/>
      </c>
      <c r="K67" s="212" t="str">
        <f>IF(I67="","",I67*0.0027)</f>
        <v/>
      </c>
      <c r="L67" s="213" t="str">
        <f>IF(OR(J67="",K67=""),"",IF(H67=60,5,SUM(J67:K67)))</f>
        <v/>
      </c>
      <c r="M67" s="102"/>
      <c r="N67" s="214" t="str">
        <f t="shared" si="4"/>
        <v/>
      </c>
      <c r="O67" s="215" t="str">
        <f t="shared" si="5"/>
        <v/>
      </c>
      <c r="P67" s="216" t="str">
        <f t="shared" si="6"/>
        <v/>
      </c>
      <c r="Q67" s="215" t="str">
        <f t="shared" si="7"/>
        <v/>
      </c>
      <c r="R67" s="217" t="str">
        <f t="shared" si="8"/>
        <v/>
      </c>
      <c r="S67" s="108"/>
      <c r="T67" s="108" t="s">
        <v>477</v>
      </c>
      <c r="U67" s="107"/>
      <c r="X67" s="109"/>
    </row>
    <row r="68" spans="1:24" ht="15.95" customHeight="1" x14ac:dyDescent="0.3">
      <c r="A68" s="102"/>
      <c r="B68" s="913"/>
      <c r="C68" s="917"/>
      <c r="D68" s="41"/>
      <c r="E68" s="399"/>
      <c r="F68" s="399"/>
      <c r="G68" s="63"/>
      <c r="H68" s="211" t="str">
        <f t="shared" si="2"/>
        <v/>
      </c>
      <c r="I68" s="211" t="str">
        <f t="shared" si="3"/>
        <v/>
      </c>
      <c r="J68" s="212" t="str">
        <f>IF(H68="","",H68*0.0833)</f>
        <v/>
      </c>
      <c r="K68" s="212" t="str">
        <f>IF(I68="","",I68*0.0027)</f>
        <v/>
      </c>
      <c r="L68" s="213" t="str">
        <f>IF(OR(J68="",K68=""),"",IF(H68=60,5,SUM(J68:K68)))</f>
        <v/>
      </c>
      <c r="M68" s="102"/>
      <c r="N68" s="214" t="str">
        <f t="shared" si="4"/>
        <v/>
      </c>
      <c r="O68" s="215" t="str">
        <f t="shared" si="5"/>
        <v/>
      </c>
      <c r="P68" s="216" t="str">
        <f t="shared" si="6"/>
        <v/>
      </c>
      <c r="Q68" s="215" t="str">
        <f t="shared" si="7"/>
        <v/>
      </c>
      <c r="R68" s="217" t="str">
        <f t="shared" si="8"/>
        <v/>
      </c>
      <c r="S68" s="108"/>
      <c r="U68" s="107"/>
    </row>
    <row r="69" spans="1:24" ht="15.95" customHeight="1" x14ac:dyDescent="0.3">
      <c r="A69" s="102"/>
      <c r="B69" s="913"/>
      <c r="C69" s="917" t="s">
        <v>30</v>
      </c>
      <c r="D69" s="41"/>
      <c r="E69" s="399"/>
      <c r="F69" s="399"/>
      <c r="G69" s="63"/>
      <c r="H69" s="211" t="str">
        <f t="shared" si="2"/>
        <v/>
      </c>
      <c r="I69" s="211" t="str">
        <f t="shared" si="3"/>
        <v/>
      </c>
      <c r="J69" s="212" t="str">
        <f>IF(H69="","",H69*0.0666)</f>
        <v/>
      </c>
      <c r="K69" s="212" t="str">
        <f>IF(I69="","",I69*0.0022)</f>
        <v/>
      </c>
      <c r="L69" s="213" t="str">
        <f>IF(OR(J69="",K69=""),"",IF(H69=60,4,SUM(J69:K69)))</f>
        <v/>
      </c>
      <c r="M69" s="102"/>
      <c r="N69" s="214" t="str">
        <f t="shared" si="4"/>
        <v/>
      </c>
      <c r="O69" s="215" t="str">
        <f t="shared" si="5"/>
        <v/>
      </c>
      <c r="P69" s="216" t="str">
        <f t="shared" si="6"/>
        <v/>
      </c>
      <c r="Q69" s="215" t="str">
        <f t="shared" si="7"/>
        <v/>
      </c>
      <c r="R69" s="217" t="str">
        <f t="shared" si="8"/>
        <v/>
      </c>
      <c r="S69" s="108"/>
      <c r="U69" s="107"/>
    </row>
    <row r="70" spans="1:24" ht="15.95" customHeight="1" thickBot="1" x14ac:dyDescent="0.35">
      <c r="A70" s="102"/>
      <c r="B70" s="914"/>
      <c r="C70" s="918"/>
      <c r="D70" s="53"/>
      <c r="E70" s="401"/>
      <c r="F70" s="401"/>
      <c r="G70" s="64"/>
      <c r="H70" s="225" t="str">
        <f t="shared" si="2"/>
        <v/>
      </c>
      <c r="I70" s="225" t="str">
        <f t="shared" si="3"/>
        <v/>
      </c>
      <c r="J70" s="226" t="str">
        <f>IF(H70="","",H70*0.0666)</f>
        <v/>
      </c>
      <c r="K70" s="226" t="str">
        <f>IF(I70="","",I70*0.0022)</f>
        <v/>
      </c>
      <c r="L70" s="227" t="str">
        <f>IF(OR(J70="",K70=""),"",IF(H70=60,4,SUM(J70:K70)))</f>
        <v/>
      </c>
      <c r="M70" s="102"/>
      <c r="N70" s="241" t="str">
        <f t="shared" si="4"/>
        <v/>
      </c>
      <c r="O70" s="228" t="str">
        <f t="shared" si="5"/>
        <v/>
      </c>
      <c r="P70" s="242" t="str">
        <f t="shared" si="6"/>
        <v/>
      </c>
      <c r="Q70" s="228" t="str">
        <f t="shared" si="7"/>
        <v/>
      </c>
      <c r="R70" s="243" t="str">
        <f t="shared" si="8"/>
        <v/>
      </c>
      <c r="S70" s="108"/>
      <c r="U70" s="107"/>
    </row>
    <row r="71" spans="1:24" s="133" customFormat="1" ht="15.95" customHeight="1" x14ac:dyDescent="0.3">
      <c r="B71" s="244"/>
      <c r="C71" s="244"/>
      <c r="D71" s="354"/>
      <c r="E71" s="355"/>
      <c r="F71" s="356"/>
      <c r="G71" s="357"/>
      <c r="H71" s="248"/>
      <c r="K71" s="249"/>
      <c r="L71" s="250"/>
      <c r="M71" s="249"/>
      <c r="Q71" s="138"/>
      <c r="V71" s="139"/>
    </row>
    <row r="72" spans="1:24" s="133" customFormat="1" ht="15.95" customHeight="1" x14ac:dyDescent="0.3">
      <c r="B72" s="244"/>
      <c r="C72" s="244"/>
      <c r="D72" s="244"/>
      <c r="E72" s="245"/>
      <c r="F72" s="246"/>
      <c r="G72" s="247"/>
      <c r="H72" s="248"/>
      <c r="J72" s="249"/>
      <c r="K72" s="250"/>
      <c r="L72" s="249"/>
      <c r="P72" s="138"/>
      <c r="U72" s="139"/>
    </row>
    <row r="73" spans="1:24" s="163" customFormat="1" ht="15.95" customHeight="1" x14ac:dyDescent="0.3">
      <c r="B73" s="251" t="s">
        <v>421</v>
      </c>
      <c r="C73" s="252"/>
      <c r="D73" s="252"/>
      <c r="E73" s="253"/>
      <c r="F73" s="254"/>
      <c r="G73" s="255"/>
      <c r="H73" s="256"/>
      <c r="J73" s="257"/>
      <c r="K73" s="258"/>
      <c r="L73" s="257"/>
      <c r="M73" s="166"/>
      <c r="N73" s="166"/>
      <c r="O73" s="166"/>
      <c r="P73" s="138"/>
      <c r="Q73" s="166"/>
      <c r="R73" s="166"/>
      <c r="S73" s="166"/>
      <c r="T73" s="166"/>
      <c r="U73" s="167"/>
    </row>
    <row r="75" spans="1:24" ht="15.95" customHeight="1" thickBot="1" x14ac:dyDescent="0.35">
      <c r="B75" s="107" t="s">
        <v>502</v>
      </c>
    </row>
    <row r="76" spans="1:24" ht="15.95" customHeight="1" x14ac:dyDescent="0.3">
      <c r="A76" s="102"/>
      <c r="B76" s="168" t="s">
        <v>66</v>
      </c>
      <c r="C76" s="169" t="s">
        <v>67</v>
      </c>
      <c r="D76" s="169" t="s">
        <v>68</v>
      </c>
      <c r="E76" s="169" t="s">
        <v>69</v>
      </c>
      <c r="F76" s="170" t="s">
        <v>70</v>
      </c>
      <c r="G76" s="131"/>
      <c r="H76" s="259" t="s">
        <v>465</v>
      </c>
      <c r="I76" s="138"/>
      <c r="J76" s="138"/>
      <c r="K76" s="138"/>
      <c r="L76" s="138"/>
      <c r="M76" s="138"/>
      <c r="N76" s="138"/>
    </row>
    <row r="77" spans="1:24" ht="15.95" customHeight="1" x14ac:dyDescent="0.3">
      <c r="A77" s="102"/>
      <c r="B77" s="260" t="s">
        <v>88</v>
      </c>
      <c r="C77" s="208" t="s">
        <v>1783</v>
      </c>
      <c r="D77" s="208">
        <v>180</v>
      </c>
      <c r="E77" s="208">
        <v>90</v>
      </c>
      <c r="F77" s="261">
        <f>IF(ISBLANK(E77),"",IF(AND(C13="교감",C14="자격연수대상후보자"),9-(100-E77)*0.025,9-(100-E77)*0.05))</f>
        <v>8.75</v>
      </c>
      <c r="G77" s="262"/>
      <c r="H77" s="263" t="s">
        <v>489</v>
      </c>
      <c r="I77" s="138"/>
      <c r="J77" s="138"/>
      <c r="K77" s="138"/>
      <c r="L77" s="138"/>
      <c r="M77" s="138"/>
      <c r="N77" s="138"/>
    </row>
    <row r="78" spans="1:24" ht="15.95" customHeight="1" thickBot="1" x14ac:dyDescent="0.35">
      <c r="A78" s="102"/>
      <c r="B78" s="403"/>
      <c r="C78" s="50"/>
      <c r="D78" s="50"/>
      <c r="E78" s="50"/>
      <c r="F78" s="264" t="str">
        <f>IF(ISBLANK(E78),"",IF(AND(C13="교감",C14="자격연수대상후보자"),9-(100-E78)*0.025,9-(100-E78)*0.05))</f>
        <v/>
      </c>
      <c r="G78" s="131"/>
      <c r="H78" s="263" t="s">
        <v>452</v>
      </c>
      <c r="I78" s="138"/>
      <c r="J78" s="138"/>
      <c r="K78" s="138"/>
      <c r="L78" s="138"/>
      <c r="M78" s="138"/>
      <c r="N78" s="138"/>
    </row>
    <row r="79" spans="1:24" s="133" customFormat="1" ht="15.95" customHeight="1" x14ac:dyDescent="0.3">
      <c r="B79" s="358"/>
      <c r="C79" s="359"/>
      <c r="D79" s="360"/>
      <c r="E79" s="360"/>
      <c r="H79" s="265"/>
      <c r="I79" s="265"/>
      <c r="J79" s="265"/>
      <c r="K79" s="265"/>
      <c r="P79" s="138"/>
      <c r="U79" s="139"/>
    </row>
    <row r="80" spans="1:24" ht="15.95" customHeight="1" thickBot="1" x14ac:dyDescent="0.35">
      <c r="B80" s="107" t="s">
        <v>1776</v>
      </c>
      <c r="I80" s="262" t="s">
        <v>978</v>
      </c>
    </row>
    <row r="81" spans="1:48" ht="15.95" customHeight="1" x14ac:dyDescent="0.3">
      <c r="A81" s="102"/>
      <c r="B81" s="168" t="s">
        <v>66</v>
      </c>
      <c r="C81" s="928" t="s">
        <v>67</v>
      </c>
      <c r="D81" s="929"/>
      <c r="E81" s="169" t="s">
        <v>68</v>
      </c>
      <c r="F81" s="169" t="s">
        <v>83</v>
      </c>
      <c r="G81" s="169" t="s">
        <v>977</v>
      </c>
      <c r="H81" s="488" t="s">
        <v>60</v>
      </c>
      <c r="M81" s="879" t="s">
        <v>83</v>
      </c>
      <c r="N81" s="880"/>
      <c r="O81" s="266" t="s">
        <v>36</v>
      </c>
      <c r="P81" s="107"/>
      <c r="Q81" s="267"/>
    </row>
    <row r="82" spans="1:48" ht="15.95" customHeight="1" x14ac:dyDescent="0.3">
      <c r="A82" s="102"/>
      <c r="B82" s="260" t="s">
        <v>450</v>
      </c>
      <c r="C82" s="487">
        <v>43173</v>
      </c>
      <c r="D82" s="487">
        <v>43189</v>
      </c>
      <c r="E82" s="208">
        <v>60</v>
      </c>
      <c r="F82" s="208">
        <v>100</v>
      </c>
      <c r="G82" s="491">
        <v>100</v>
      </c>
      <c r="H82" s="489">
        <f>6*G82/100</f>
        <v>6</v>
      </c>
      <c r="M82" s="855" t="s">
        <v>89</v>
      </c>
      <c r="N82" s="856"/>
      <c r="O82" s="269">
        <v>100</v>
      </c>
      <c r="P82" s="107"/>
      <c r="Q82" s="267"/>
    </row>
    <row r="83" spans="1:48" ht="15.95" customHeight="1" x14ac:dyDescent="0.3">
      <c r="A83" s="102"/>
      <c r="B83" s="406"/>
      <c r="C83" s="495"/>
      <c r="D83" s="495"/>
      <c r="E83" s="45"/>
      <c r="F83" s="45"/>
      <c r="G83" s="492" t="str">
        <f>IF(ISBLANK(F83),"",IF(F83&gt;95,100,IF(F83&gt;90,95,IF(F83&gt;85,90,85))))</f>
        <v/>
      </c>
      <c r="H83" s="490" t="str">
        <f>IF(ISBLANK(F83),"",6*G83/100)</f>
        <v/>
      </c>
      <c r="M83" s="855" t="s">
        <v>511</v>
      </c>
      <c r="N83" s="856"/>
      <c r="O83" s="269">
        <v>95</v>
      </c>
      <c r="P83" s="107"/>
      <c r="Q83" s="267"/>
      <c r="AU83" s="107" t="str">
        <f>MID(C83,10,2)</f>
        <v/>
      </c>
    </row>
    <row r="84" spans="1:48" ht="15.95" customHeight="1" x14ac:dyDescent="0.3">
      <c r="A84" s="102"/>
      <c r="B84" s="406"/>
      <c r="C84" s="495"/>
      <c r="D84" s="45"/>
      <c r="E84" s="493"/>
      <c r="F84" s="493"/>
      <c r="G84" s="270" t="s">
        <v>78</v>
      </c>
      <c r="H84" s="490" t="str">
        <f>IF(AND(C13="교감",E84&gt;=60,F84&gt;0),6,"")</f>
        <v/>
      </c>
      <c r="I84" s="259" t="s">
        <v>466</v>
      </c>
      <c r="J84" s="138"/>
      <c r="K84" s="138"/>
      <c r="M84" s="855" t="s">
        <v>512</v>
      </c>
      <c r="N84" s="856"/>
      <c r="O84" s="269">
        <v>90</v>
      </c>
      <c r="P84" s="107"/>
      <c r="Q84" s="267"/>
      <c r="AV84" s="107">
        <f>VALUE(AU84)</f>
        <v>0</v>
      </c>
    </row>
    <row r="85" spans="1:48" ht="15.95" customHeight="1" thickBot="1" x14ac:dyDescent="0.35">
      <c r="A85" s="102"/>
      <c r="B85" s="407" t="str">
        <f>IF(C13="교감","경남교육정책 이해 직무연수"," ")</f>
        <v>경남교육정책 이해 직무연수</v>
      </c>
      <c r="C85" s="496"/>
      <c r="D85" s="496"/>
      <c r="E85" s="494" t="str">
        <f>IF(AND(C13="교감",C14="승진후보자"),"60","")</f>
        <v/>
      </c>
      <c r="F85" s="494" t="str">
        <f>IF(AND(C13="교감",C14="승진후보자"),"이수","")</f>
        <v/>
      </c>
      <c r="G85" s="271" t="s">
        <v>78</v>
      </c>
      <c r="H85" s="264" t="str">
        <f>IF(NOT(ISBLANK(C85)),6,"")</f>
        <v/>
      </c>
      <c r="I85" s="259" t="s">
        <v>451</v>
      </c>
      <c r="J85" s="138"/>
      <c r="K85" s="138"/>
      <c r="M85" s="853" t="s">
        <v>90</v>
      </c>
      <c r="N85" s="854"/>
      <c r="O85" s="272">
        <v>85</v>
      </c>
      <c r="P85" s="107"/>
      <c r="Q85" s="267"/>
    </row>
    <row r="86" spans="1:48" ht="15.95" customHeight="1" x14ac:dyDescent="0.3">
      <c r="B86" s="769" t="s">
        <v>1779</v>
      </c>
      <c r="C86" s="37"/>
      <c r="D86" s="36"/>
      <c r="F86" s="273" t="s">
        <v>447</v>
      </c>
      <c r="G86" s="274">
        <f>SUM(H83:H85)</f>
        <v>0</v>
      </c>
      <c r="H86" s="275"/>
      <c r="I86" s="133"/>
      <c r="J86" s="133"/>
      <c r="K86" s="133"/>
      <c r="L86" s="133"/>
    </row>
    <row r="87" spans="1:48" ht="15.95" customHeight="1" thickBot="1" x14ac:dyDescent="0.35">
      <c r="B87" s="102" t="s">
        <v>528</v>
      </c>
    </row>
    <row r="88" spans="1:48" ht="15.95" customHeight="1" x14ac:dyDescent="0.3">
      <c r="A88" s="102"/>
      <c r="B88" s="906" t="s">
        <v>37</v>
      </c>
      <c r="C88" s="851" t="s">
        <v>38</v>
      </c>
      <c r="D88" s="851" t="s">
        <v>39</v>
      </c>
      <c r="E88" s="851" t="s">
        <v>40</v>
      </c>
      <c r="F88" s="851"/>
      <c r="G88" s="851"/>
      <c r="H88" s="851" t="s">
        <v>41</v>
      </c>
      <c r="I88" s="851"/>
      <c r="J88" s="851"/>
      <c r="K88" s="930" t="s">
        <v>11</v>
      </c>
      <c r="M88" s="876" t="s">
        <v>422</v>
      </c>
      <c r="N88" s="877"/>
      <c r="O88" s="877"/>
      <c r="P88" s="878"/>
    </row>
    <row r="89" spans="1:48" ht="15.95" customHeight="1" x14ac:dyDescent="0.3">
      <c r="A89" s="102"/>
      <c r="B89" s="907"/>
      <c r="C89" s="908"/>
      <c r="D89" s="908"/>
      <c r="E89" s="276" t="s">
        <v>71</v>
      </c>
      <c r="F89" s="276" t="s">
        <v>72</v>
      </c>
      <c r="G89" s="276" t="s">
        <v>73</v>
      </c>
      <c r="H89" s="277" t="s">
        <v>71</v>
      </c>
      <c r="I89" s="276" t="s">
        <v>72</v>
      </c>
      <c r="J89" s="276" t="s">
        <v>73</v>
      </c>
      <c r="K89" s="931"/>
      <c r="M89" s="260">
        <v>1</v>
      </c>
      <c r="N89" s="208">
        <v>2</v>
      </c>
      <c r="O89" s="208">
        <v>3</v>
      </c>
      <c r="P89" s="278" t="s">
        <v>94</v>
      </c>
    </row>
    <row r="90" spans="1:48" ht="15.95" customHeight="1" thickBot="1" x14ac:dyDescent="0.35">
      <c r="A90" s="102"/>
      <c r="B90" s="907"/>
      <c r="C90" s="908"/>
      <c r="D90" s="908"/>
      <c r="E90" s="279">
        <v>1.5</v>
      </c>
      <c r="F90" s="279">
        <v>1.25</v>
      </c>
      <c r="G90" s="279">
        <v>1</v>
      </c>
      <c r="H90" s="280">
        <v>1</v>
      </c>
      <c r="I90" s="279">
        <v>0.75</v>
      </c>
      <c r="J90" s="279">
        <v>0.5</v>
      </c>
      <c r="K90" s="931"/>
      <c r="M90" s="281">
        <v>1</v>
      </c>
      <c r="N90" s="282">
        <v>0.7</v>
      </c>
      <c r="O90" s="282">
        <v>0.5</v>
      </c>
      <c r="P90" s="283">
        <v>0.3</v>
      </c>
    </row>
    <row r="91" spans="1:48" s="108" customFormat="1" ht="15.95" customHeight="1" x14ac:dyDescent="0.3">
      <c r="A91" s="146"/>
      <c r="B91" s="284" t="s">
        <v>92</v>
      </c>
      <c r="C91" s="285" t="s">
        <v>93</v>
      </c>
      <c r="D91" s="414">
        <v>42185</v>
      </c>
      <c r="E91" s="286"/>
      <c r="F91" s="286"/>
      <c r="G91" s="286"/>
      <c r="H91" s="285">
        <v>1</v>
      </c>
      <c r="I91" s="286"/>
      <c r="J91" s="286"/>
      <c r="K91" s="287">
        <f t="shared" ref="K91:K99" si="9">IF(SUM(E91:J91)=0,"",INDEX(등급,MATCH(MAX(E91:J91),E91:J91,0))*INDEX(연구자,INDEX(E91:J91,MATCH(MAX(E91:J91),E91:J91,0))))</f>
        <v>1</v>
      </c>
      <c r="U91" s="268"/>
    </row>
    <row r="92" spans="1:48" ht="15.95" customHeight="1" x14ac:dyDescent="0.3">
      <c r="A92" s="102"/>
      <c r="B92" s="51"/>
      <c r="C92" s="41"/>
      <c r="D92" s="399"/>
      <c r="E92" s="44"/>
      <c r="F92" s="44"/>
      <c r="G92" s="44"/>
      <c r="H92" s="41"/>
      <c r="I92" s="44"/>
      <c r="J92" s="44"/>
      <c r="K92" s="288" t="str">
        <f t="shared" si="9"/>
        <v/>
      </c>
      <c r="M92" s="108" t="s">
        <v>1000</v>
      </c>
    </row>
    <row r="93" spans="1:48" ht="15.95" customHeight="1" x14ac:dyDescent="0.3">
      <c r="A93" s="102"/>
      <c r="B93" s="51"/>
      <c r="C93" s="41"/>
      <c r="D93" s="399"/>
      <c r="E93" s="44"/>
      <c r="F93" s="44"/>
      <c r="G93" s="44"/>
      <c r="H93" s="41"/>
      <c r="I93" s="44"/>
      <c r="J93" s="44"/>
      <c r="K93" s="288" t="str">
        <f t="shared" si="9"/>
        <v/>
      </c>
      <c r="M93" s="108" t="s">
        <v>380</v>
      </c>
    </row>
    <row r="94" spans="1:48" ht="15.95" customHeight="1" x14ac:dyDescent="0.3">
      <c r="A94" s="102"/>
      <c r="B94" s="51"/>
      <c r="C94" s="41"/>
      <c r="D94" s="399"/>
      <c r="E94" s="44"/>
      <c r="F94" s="44"/>
      <c r="G94" s="44"/>
      <c r="H94" s="41"/>
      <c r="I94" s="44"/>
      <c r="J94" s="44"/>
      <c r="K94" s="288" t="str">
        <f t="shared" si="9"/>
        <v/>
      </c>
      <c r="M94" s="108" t="s">
        <v>381</v>
      </c>
    </row>
    <row r="95" spans="1:48" ht="15.95" customHeight="1" x14ac:dyDescent="0.3">
      <c r="A95" s="102"/>
      <c r="B95" s="51"/>
      <c r="C95" s="41"/>
      <c r="D95" s="399"/>
      <c r="E95" s="44"/>
      <c r="F95" s="44"/>
      <c r="G95" s="44"/>
      <c r="H95" s="41"/>
      <c r="I95" s="44"/>
      <c r="J95" s="44"/>
      <c r="K95" s="288" t="str">
        <f t="shared" si="9"/>
        <v/>
      </c>
      <c r="N95" s="112"/>
      <c r="O95" s="289"/>
      <c r="P95" s="289"/>
      <c r="Q95" s="289"/>
    </row>
    <row r="96" spans="1:48" ht="15.95" customHeight="1" x14ac:dyDescent="0.3">
      <c r="A96" s="102"/>
      <c r="B96" s="51"/>
      <c r="C96" s="41"/>
      <c r="D96" s="399"/>
      <c r="E96" s="44"/>
      <c r="F96" s="44"/>
      <c r="G96" s="44"/>
      <c r="H96" s="41"/>
      <c r="I96" s="44"/>
      <c r="J96" s="44"/>
      <c r="K96" s="288" t="str">
        <f t="shared" si="9"/>
        <v/>
      </c>
      <c r="N96" s="112"/>
      <c r="O96" s="289"/>
      <c r="P96" s="289"/>
      <c r="Q96" s="289"/>
    </row>
    <row r="97" spans="1:88" ht="15.95" customHeight="1" x14ac:dyDescent="0.3">
      <c r="A97" s="102"/>
      <c r="B97" s="51"/>
      <c r="C97" s="41"/>
      <c r="D97" s="399"/>
      <c r="E97" s="44"/>
      <c r="F97" s="44"/>
      <c r="G97" s="44"/>
      <c r="H97" s="41"/>
      <c r="I97" s="44"/>
      <c r="J97" s="44"/>
      <c r="K97" s="288" t="str">
        <f t="shared" si="9"/>
        <v/>
      </c>
    </row>
    <row r="98" spans="1:88" ht="15.95" customHeight="1" x14ac:dyDescent="0.3">
      <c r="A98" s="102"/>
      <c r="B98" s="51"/>
      <c r="C98" s="41"/>
      <c r="D98" s="399"/>
      <c r="E98" s="44"/>
      <c r="F98" s="44"/>
      <c r="G98" s="44"/>
      <c r="H98" s="41"/>
      <c r="I98" s="44"/>
      <c r="J98" s="44"/>
      <c r="K98" s="288" t="str">
        <f t="shared" si="9"/>
        <v/>
      </c>
    </row>
    <row r="99" spans="1:88" ht="15.95" customHeight="1" thickBot="1" x14ac:dyDescent="0.35">
      <c r="A99" s="102"/>
      <c r="B99" s="52"/>
      <c r="C99" s="53"/>
      <c r="D99" s="401"/>
      <c r="E99" s="55"/>
      <c r="F99" s="55"/>
      <c r="G99" s="55"/>
      <c r="H99" s="53"/>
      <c r="I99" s="55"/>
      <c r="J99" s="55"/>
      <c r="K99" s="290" t="str">
        <f t="shared" si="9"/>
        <v/>
      </c>
    </row>
    <row r="100" spans="1:88" ht="15.95" customHeight="1" x14ac:dyDescent="0.3">
      <c r="B100" s="36"/>
      <c r="C100" s="37"/>
      <c r="D100" s="36"/>
      <c r="E100" s="36"/>
      <c r="F100" s="36"/>
      <c r="G100" s="36"/>
      <c r="H100" s="38"/>
      <c r="I100" s="36"/>
      <c r="J100" s="361" t="s">
        <v>447</v>
      </c>
      <c r="K100" s="291">
        <f>SUM(K92:K99,K104:K105)</f>
        <v>0</v>
      </c>
      <c r="M100" s="138" t="s">
        <v>533</v>
      </c>
    </row>
    <row r="101" spans="1:88" ht="15.95" customHeight="1" thickBot="1" x14ac:dyDescent="0.35">
      <c r="B101" s="102" t="s">
        <v>529</v>
      </c>
      <c r="K101" s="268" t="s">
        <v>474</v>
      </c>
      <c r="M101" s="292"/>
      <c r="N101" s="292"/>
      <c r="O101" s="292"/>
    </row>
    <row r="102" spans="1:88" ht="15.95" customHeight="1" thickBot="1" x14ac:dyDescent="0.35">
      <c r="A102" s="102"/>
      <c r="B102" s="906" t="s">
        <v>19</v>
      </c>
      <c r="C102" s="851"/>
      <c r="D102" s="195" t="s">
        <v>6</v>
      </c>
      <c r="E102" s="851" t="s">
        <v>42</v>
      </c>
      <c r="F102" s="851"/>
      <c r="G102" s="851"/>
      <c r="H102" s="851" t="s">
        <v>43</v>
      </c>
      <c r="I102" s="851"/>
      <c r="J102" s="851"/>
      <c r="K102" s="198" t="s">
        <v>11</v>
      </c>
      <c r="L102" s="102"/>
    </row>
    <row r="103" spans="1:88" s="133" customFormat="1" ht="15.95" customHeight="1" x14ac:dyDescent="0.3">
      <c r="A103" s="293"/>
      <c r="B103" s="294" t="s">
        <v>74</v>
      </c>
      <c r="C103" s="286" t="s">
        <v>79</v>
      </c>
      <c r="D103" s="414">
        <v>40233</v>
      </c>
      <c r="E103" s="850" t="s">
        <v>75</v>
      </c>
      <c r="F103" s="850"/>
      <c r="G103" s="850"/>
      <c r="H103" s="850" t="s">
        <v>95</v>
      </c>
      <c r="I103" s="850"/>
      <c r="J103" s="850"/>
      <c r="K103" s="295">
        <f>IF(AND(OR(B103="박사",B103="석사"),OR(C103="직무관련",C103="기타")),IF(B103="박사",IF(C103="직무관련",3,1.5),IF(C103="직무관련",1.5,1)),"")</f>
        <v>1.5</v>
      </c>
      <c r="L103" s="296"/>
      <c r="M103" s="610" t="s">
        <v>64</v>
      </c>
      <c r="N103" s="297" t="s">
        <v>497</v>
      </c>
      <c r="O103" s="612" t="s">
        <v>77</v>
      </c>
      <c r="P103" s="138"/>
      <c r="U103" s="139"/>
    </row>
    <row r="104" spans="1:88" ht="15.95" customHeight="1" x14ac:dyDescent="0.3">
      <c r="A104" s="102"/>
      <c r="B104" s="51"/>
      <c r="C104" s="44"/>
      <c r="D104" s="42"/>
      <c r="E104" s="920"/>
      <c r="F104" s="920"/>
      <c r="G104" s="920"/>
      <c r="H104" s="920"/>
      <c r="I104" s="920"/>
      <c r="J104" s="920"/>
      <c r="K104" s="298" t="str">
        <f>IF(AND(OR(B104="박사",B104="석사"),OR(C104="직무관련",C104="기타")),IF(B104="박사",IF(C104="직무관련",3,1.5),IF(C104="직무관련",1.5,1)),"")</f>
        <v/>
      </c>
      <c r="L104" s="102"/>
      <c r="M104" s="299" t="s">
        <v>76</v>
      </c>
      <c r="N104" s="300">
        <v>3</v>
      </c>
      <c r="O104" s="301">
        <v>1.5</v>
      </c>
      <c r="AC104" s="133"/>
      <c r="AD104" s="133"/>
      <c r="AE104" s="133"/>
      <c r="AF104" s="133"/>
      <c r="AG104" s="133"/>
      <c r="AH104" s="133"/>
      <c r="AI104" s="133"/>
      <c r="AJ104" s="133"/>
      <c r="AK104" s="133"/>
      <c r="AL104" s="133"/>
      <c r="AM104" s="133"/>
      <c r="AN104" s="133"/>
      <c r="AO104" s="133"/>
      <c r="AP104" s="133"/>
      <c r="AQ104" s="133"/>
      <c r="AR104" s="133"/>
      <c r="AS104" s="133"/>
      <c r="AT104" s="133"/>
      <c r="AU104" s="133"/>
      <c r="AV104" s="133"/>
      <c r="AW104" s="133"/>
      <c r="AX104" s="133"/>
      <c r="AY104" s="133"/>
      <c r="AZ104" s="133"/>
      <c r="BA104" s="133"/>
      <c r="BB104" s="133"/>
      <c r="BC104" s="133"/>
      <c r="BD104" s="133"/>
      <c r="BE104" s="133"/>
      <c r="BF104" s="133"/>
      <c r="BG104" s="133"/>
      <c r="BH104" s="133"/>
      <c r="BI104" s="133"/>
      <c r="BJ104" s="133"/>
      <c r="BK104" s="133"/>
      <c r="BL104" s="133"/>
      <c r="BM104" s="133"/>
      <c r="BN104" s="133"/>
      <c r="BO104" s="133"/>
      <c r="BP104" s="133"/>
      <c r="BQ104" s="133"/>
      <c r="BR104" s="133"/>
      <c r="BS104" s="133"/>
      <c r="BT104" s="133"/>
      <c r="BU104" s="133"/>
      <c r="BV104" s="133"/>
      <c r="BW104" s="133"/>
      <c r="BX104" s="133"/>
      <c r="BY104" s="133"/>
      <c r="BZ104" s="133"/>
      <c r="CA104" s="133"/>
      <c r="CB104" s="133"/>
      <c r="CC104" s="133"/>
      <c r="CD104" s="133"/>
      <c r="CE104" s="133"/>
      <c r="CF104" s="133"/>
      <c r="CG104" s="133"/>
      <c r="CH104" s="133"/>
      <c r="CI104" s="133"/>
      <c r="CJ104" s="133"/>
    </row>
    <row r="105" spans="1:88" ht="15.95" customHeight="1" thickBot="1" x14ac:dyDescent="0.35">
      <c r="B105" s="52"/>
      <c r="C105" s="55"/>
      <c r="D105" s="54"/>
      <c r="E105" s="933"/>
      <c r="F105" s="933"/>
      <c r="G105" s="933"/>
      <c r="H105" s="933"/>
      <c r="I105" s="933"/>
      <c r="J105" s="933"/>
      <c r="K105" s="302" t="str">
        <f>IF(AND(OR(B105="박사",B105="석사"),OR(C105="직무관련",C105="기타")),IF(B105="박사",IF(C105="직무관련",3,1.5),IF(C105="직무관련",1.5,1)),"")</f>
        <v/>
      </c>
      <c r="L105" s="102"/>
      <c r="M105" s="303" t="s">
        <v>74</v>
      </c>
      <c r="N105" s="304">
        <v>1.5</v>
      </c>
      <c r="O105" s="305">
        <v>1</v>
      </c>
    </row>
    <row r="106" spans="1:88" s="306" customFormat="1" ht="15.95" customHeight="1" x14ac:dyDescent="0.3">
      <c r="A106" s="107"/>
      <c r="B106" s="36"/>
      <c r="C106" s="37"/>
      <c r="D106" s="36"/>
      <c r="E106" s="36"/>
      <c r="F106" s="36"/>
      <c r="G106" s="36"/>
      <c r="H106" s="38"/>
      <c r="I106" s="36"/>
      <c r="J106" s="36"/>
      <c r="K106" s="107"/>
      <c r="L106" s="107"/>
      <c r="M106" s="107"/>
      <c r="N106" s="107"/>
      <c r="O106" s="107"/>
      <c r="P106" s="108"/>
      <c r="Q106" s="107"/>
      <c r="R106" s="107"/>
      <c r="S106" s="107"/>
      <c r="T106" s="107"/>
      <c r="U106" s="405"/>
      <c r="V106" s="107"/>
      <c r="W106" s="107"/>
      <c r="X106" s="107"/>
      <c r="Y106" s="107"/>
      <c r="Z106" s="107"/>
      <c r="AA106" s="107"/>
      <c r="AB106" s="107"/>
      <c r="AC106" s="107"/>
      <c r="AD106" s="107"/>
      <c r="AE106" s="107"/>
      <c r="AF106" s="107"/>
      <c r="AG106" s="107"/>
      <c r="AH106" s="107"/>
      <c r="AI106" s="107"/>
      <c r="AJ106" s="107"/>
      <c r="AK106" s="107"/>
      <c r="AL106" s="107"/>
      <c r="AM106" s="107"/>
      <c r="AN106" s="107"/>
      <c r="AO106" s="107"/>
      <c r="AP106" s="107"/>
      <c r="AQ106" s="107"/>
      <c r="AR106" s="107"/>
      <c r="AS106" s="107"/>
      <c r="AT106" s="107"/>
      <c r="AU106" s="107"/>
      <c r="AV106" s="107"/>
      <c r="AW106" s="107"/>
      <c r="AX106" s="107"/>
      <c r="AY106" s="107"/>
      <c r="AZ106" s="107"/>
      <c r="BA106" s="107"/>
      <c r="BB106" s="107"/>
      <c r="BC106" s="107"/>
      <c r="BD106" s="107"/>
      <c r="BE106" s="107"/>
      <c r="BF106" s="107"/>
      <c r="BG106" s="107"/>
      <c r="BH106" s="107"/>
      <c r="BI106" s="107"/>
      <c r="BJ106" s="107"/>
      <c r="BK106" s="107"/>
      <c r="BL106" s="107"/>
      <c r="BM106" s="107"/>
      <c r="BN106" s="107"/>
      <c r="BO106" s="107"/>
      <c r="BP106" s="107"/>
      <c r="BQ106" s="107"/>
      <c r="BR106" s="107"/>
      <c r="BS106" s="107"/>
      <c r="BT106" s="107"/>
      <c r="BU106" s="107"/>
      <c r="BV106" s="107"/>
      <c r="BW106" s="107"/>
      <c r="BX106" s="107"/>
      <c r="BY106" s="107"/>
      <c r="BZ106" s="107"/>
      <c r="CA106" s="107"/>
      <c r="CB106" s="107"/>
      <c r="CC106" s="107"/>
      <c r="CD106" s="107"/>
      <c r="CE106" s="107"/>
      <c r="CF106" s="107"/>
      <c r="CG106" s="107"/>
      <c r="CH106" s="107"/>
      <c r="CI106" s="107"/>
      <c r="CJ106" s="107"/>
    </row>
    <row r="107" spans="1:88" s="306" customFormat="1" ht="15.95" customHeight="1" x14ac:dyDescent="0.3">
      <c r="A107" s="107"/>
      <c r="B107" s="107"/>
      <c r="C107" s="131"/>
      <c r="D107" s="107"/>
      <c r="E107" s="107"/>
      <c r="F107" s="107"/>
      <c r="G107" s="107"/>
      <c r="H107" s="152"/>
      <c r="I107" s="107"/>
      <c r="J107" s="107"/>
      <c r="K107" s="107"/>
      <c r="L107" s="107"/>
      <c r="M107" s="107"/>
      <c r="N107" s="107"/>
      <c r="O107" s="107"/>
      <c r="P107" s="108"/>
      <c r="Q107" s="107"/>
      <c r="R107" s="107"/>
      <c r="S107" s="107"/>
      <c r="T107" s="107"/>
      <c r="U107" s="405"/>
      <c r="V107" s="107"/>
      <c r="W107" s="107"/>
      <c r="X107" s="107"/>
      <c r="Y107" s="107"/>
      <c r="Z107" s="107"/>
      <c r="AA107" s="107"/>
      <c r="AB107" s="107"/>
      <c r="AC107" s="107"/>
      <c r="AD107" s="107"/>
      <c r="AE107" s="107"/>
      <c r="AF107" s="107"/>
      <c r="AG107" s="107"/>
      <c r="AH107" s="107"/>
      <c r="AI107" s="107"/>
      <c r="AJ107" s="107"/>
      <c r="AK107" s="107"/>
      <c r="AL107" s="107"/>
      <c r="AM107" s="107"/>
      <c r="AN107" s="107"/>
      <c r="AO107" s="107"/>
      <c r="AP107" s="107"/>
      <c r="AQ107" s="107"/>
      <c r="AR107" s="107"/>
      <c r="AS107" s="107"/>
      <c r="AT107" s="107"/>
      <c r="AU107" s="107"/>
      <c r="AV107" s="107"/>
      <c r="AW107" s="107"/>
      <c r="AX107" s="107"/>
      <c r="AY107" s="107"/>
      <c r="AZ107" s="107"/>
      <c r="BA107" s="107"/>
      <c r="BB107" s="107"/>
      <c r="BC107" s="107"/>
      <c r="BD107" s="107"/>
      <c r="BE107" s="107"/>
      <c r="BF107" s="107"/>
      <c r="BG107" s="107"/>
      <c r="BH107" s="107"/>
      <c r="BI107" s="107"/>
      <c r="BJ107" s="107"/>
      <c r="BK107" s="107"/>
      <c r="BL107" s="107"/>
      <c r="BM107" s="107"/>
      <c r="BN107" s="107"/>
      <c r="BO107" s="107"/>
      <c r="BP107" s="107"/>
      <c r="BQ107" s="107"/>
      <c r="BR107" s="107"/>
      <c r="BS107" s="107"/>
      <c r="BT107" s="107"/>
      <c r="BU107" s="107"/>
      <c r="BV107" s="107"/>
      <c r="BW107" s="107"/>
      <c r="BX107" s="107"/>
      <c r="BY107" s="107"/>
      <c r="BZ107" s="107"/>
      <c r="CA107" s="107"/>
      <c r="CB107" s="107"/>
      <c r="CC107" s="107"/>
      <c r="CD107" s="107"/>
      <c r="CE107" s="107"/>
      <c r="CF107" s="107"/>
      <c r="CG107" s="107"/>
      <c r="CH107" s="107"/>
      <c r="CI107" s="107"/>
      <c r="CJ107" s="107"/>
    </row>
    <row r="108" spans="1:88" s="133" customFormat="1" ht="15.95" customHeight="1" x14ac:dyDescent="0.3">
      <c r="B108" s="134" t="s">
        <v>503</v>
      </c>
      <c r="C108" s="192"/>
      <c r="D108" s="192" t="s">
        <v>509</v>
      </c>
      <c r="E108" s="134"/>
      <c r="F108" s="134"/>
      <c r="G108" s="134"/>
      <c r="H108" s="194"/>
      <c r="I108" s="134"/>
      <c r="J108" s="134"/>
      <c r="K108" s="134"/>
      <c r="L108" s="163"/>
      <c r="M108" s="166"/>
      <c r="N108" s="166"/>
      <c r="O108" s="166"/>
      <c r="P108" s="138"/>
      <c r="Q108" s="166"/>
      <c r="R108" s="166"/>
      <c r="S108" s="166"/>
      <c r="T108" s="166"/>
      <c r="U108" s="167"/>
      <c r="V108" s="163"/>
      <c r="W108" s="163"/>
      <c r="X108" s="163"/>
      <c r="Y108" s="163"/>
      <c r="Z108" s="163"/>
      <c r="AA108" s="163"/>
      <c r="AB108" s="163"/>
      <c r="AC108" s="163"/>
      <c r="AD108" s="163"/>
      <c r="AE108" s="163"/>
      <c r="AF108" s="163"/>
      <c r="AG108" s="163"/>
      <c r="AH108" s="163"/>
      <c r="AI108" s="163"/>
      <c r="AJ108" s="163"/>
      <c r="AK108" s="163"/>
      <c r="AL108" s="163"/>
      <c r="AM108" s="163"/>
      <c r="AN108" s="163"/>
      <c r="AO108" s="163"/>
      <c r="AP108" s="163"/>
      <c r="AQ108" s="163"/>
      <c r="AR108" s="163"/>
      <c r="AS108" s="163"/>
      <c r="AT108" s="163"/>
      <c r="AU108" s="163"/>
      <c r="AV108" s="163"/>
      <c r="AW108" s="163"/>
      <c r="AX108" s="163"/>
      <c r="AY108" s="163"/>
      <c r="AZ108" s="163"/>
      <c r="BA108" s="163"/>
      <c r="BB108" s="163"/>
      <c r="BC108" s="163"/>
      <c r="BD108" s="163"/>
      <c r="BE108" s="163"/>
      <c r="BF108" s="163"/>
      <c r="BG108" s="163"/>
      <c r="BH108" s="163"/>
      <c r="BI108" s="163"/>
      <c r="BJ108" s="163"/>
      <c r="BK108" s="163"/>
      <c r="BL108" s="163"/>
      <c r="BM108" s="163"/>
      <c r="BN108" s="163"/>
      <c r="BO108" s="163"/>
      <c r="BP108" s="163"/>
      <c r="BQ108" s="163"/>
      <c r="BR108" s="163"/>
      <c r="BS108" s="163"/>
      <c r="BT108" s="163"/>
      <c r="BU108" s="163"/>
      <c r="BV108" s="163"/>
      <c r="BW108" s="163"/>
      <c r="BX108" s="163"/>
      <c r="BY108" s="163"/>
      <c r="BZ108" s="163"/>
      <c r="CA108" s="163"/>
      <c r="CB108" s="163"/>
      <c r="CC108" s="163"/>
      <c r="CD108" s="163"/>
      <c r="CE108" s="163"/>
      <c r="CF108" s="163"/>
      <c r="CG108" s="163"/>
      <c r="CH108" s="163"/>
      <c r="CI108" s="163"/>
      <c r="CJ108" s="163"/>
    </row>
    <row r="109" spans="1:88" ht="15.95" customHeight="1" thickBot="1" x14ac:dyDescent="0.35">
      <c r="E109" s="143"/>
    </row>
    <row r="110" spans="1:88" ht="15.95" customHeight="1" x14ac:dyDescent="0.3">
      <c r="A110" s="102"/>
      <c r="B110" s="954" t="s">
        <v>44</v>
      </c>
      <c r="C110" s="851" t="s">
        <v>45</v>
      </c>
      <c r="D110" s="851" t="s">
        <v>46</v>
      </c>
      <c r="E110" s="851" t="s">
        <v>506</v>
      </c>
      <c r="F110" s="851"/>
      <c r="G110" s="851" t="s">
        <v>374</v>
      </c>
      <c r="H110" s="935" t="s">
        <v>375</v>
      </c>
      <c r="I110" s="851" t="s">
        <v>524</v>
      </c>
      <c r="J110" s="851"/>
      <c r="K110" s="930" t="s">
        <v>455</v>
      </c>
      <c r="O110" s="876" t="s">
        <v>437</v>
      </c>
      <c r="P110" s="877"/>
      <c r="Q110" s="939" t="s">
        <v>378</v>
      </c>
      <c r="R110" s="941" t="s">
        <v>438</v>
      </c>
      <c r="S110" s="942"/>
      <c r="T110" s="108"/>
      <c r="U110" s="307"/>
      <c r="W110" s="109"/>
    </row>
    <row r="111" spans="1:88" s="108" customFormat="1" ht="15.95" customHeight="1" x14ac:dyDescent="0.3">
      <c r="A111" s="146"/>
      <c r="B111" s="955"/>
      <c r="C111" s="908"/>
      <c r="D111" s="908"/>
      <c r="E111" s="308" t="s">
        <v>1696</v>
      </c>
      <c r="F111" s="308" t="s">
        <v>457</v>
      </c>
      <c r="G111" s="908"/>
      <c r="H111" s="936"/>
      <c r="I111" s="434" t="s">
        <v>525</v>
      </c>
      <c r="J111" s="434" t="s">
        <v>526</v>
      </c>
      <c r="K111" s="931"/>
      <c r="L111" s="107"/>
      <c r="M111" s="441"/>
      <c r="O111" s="260" t="s">
        <v>439</v>
      </c>
      <c r="P111" s="208" t="s">
        <v>376</v>
      </c>
      <c r="Q111" s="940"/>
      <c r="R111" s="208" t="s">
        <v>377</v>
      </c>
      <c r="S111" s="278" t="s">
        <v>439</v>
      </c>
      <c r="U111" s="307"/>
      <c r="V111" s="107"/>
      <c r="W111" s="109"/>
      <c r="X111" s="107"/>
      <c r="Y111" s="107"/>
      <c r="Z111" s="107"/>
      <c r="AA111" s="107"/>
      <c r="AB111" s="107"/>
      <c r="AC111" s="107"/>
      <c r="AD111" s="107"/>
      <c r="AE111" s="107"/>
      <c r="AF111" s="107"/>
      <c r="AG111" s="107"/>
      <c r="AH111" s="107"/>
      <c r="AI111" s="107"/>
      <c r="AJ111" s="107"/>
      <c r="AK111" s="107"/>
      <c r="AL111" s="107"/>
      <c r="AM111" s="107"/>
      <c r="AN111" s="107"/>
      <c r="AO111" s="107"/>
      <c r="AP111" s="107"/>
      <c r="AQ111" s="107"/>
      <c r="AR111" s="107"/>
      <c r="AS111" s="107"/>
      <c r="AT111" s="107"/>
      <c r="AU111" s="107"/>
      <c r="AV111" s="107"/>
      <c r="AW111" s="107"/>
      <c r="AX111" s="107"/>
      <c r="AY111" s="107"/>
      <c r="AZ111" s="107"/>
      <c r="BA111" s="107"/>
      <c r="BB111" s="107"/>
      <c r="BC111" s="107"/>
      <c r="BD111" s="107"/>
      <c r="BE111" s="107"/>
      <c r="BF111" s="107"/>
      <c r="BG111" s="107"/>
      <c r="BH111" s="107"/>
      <c r="BI111" s="107"/>
      <c r="BJ111" s="107"/>
      <c r="BK111" s="107"/>
      <c r="BL111" s="107"/>
      <c r="BM111" s="107"/>
      <c r="BN111" s="107"/>
      <c r="BO111" s="107"/>
      <c r="BP111" s="107"/>
      <c r="BQ111" s="107"/>
      <c r="BR111" s="107"/>
      <c r="BS111" s="107"/>
      <c r="BT111" s="107"/>
      <c r="BU111" s="107"/>
      <c r="BV111" s="107"/>
      <c r="BW111" s="107"/>
      <c r="BX111" s="107"/>
      <c r="BY111" s="107"/>
      <c r="BZ111" s="107"/>
      <c r="CA111" s="107"/>
      <c r="CB111" s="107"/>
      <c r="CC111" s="107"/>
      <c r="CD111" s="107"/>
      <c r="CE111" s="107"/>
      <c r="CF111" s="107"/>
      <c r="CG111" s="107"/>
      <c r="CH111" s="107"/>
      <c r="CI111" s="107"/>
      <c r="CJ111" s="107"/>
    </row>
    <row r="112" spans="1:88" s="108" customFormat="1" ht="15.95" customHeight="1" thickBot="1" x14ac:dyDescent="0.35">
      <c r="A112" s="146"/>
      <c r="B112" s="956"/>
      <c r="C112" s="431" t="s">
        <v>454</v>
      </c>
      <c r="D112" s="285" t="s">
        <v>928</v>
      </c>
      <c r="E112" s="414">
        <v>41699</v>
      </c>
      <c r="F112" s="414">
        <v>43524</v>
      </c>
      <c r="G112" s="431">
        <f>IF(Q112="","",Q112+P112+R112+IF(SUM(O112,S112)&gt;29,1,0))</f>
        <v>60</v>
      </c>
      <c r="H112" s="285">
        <f>IF(OR(O112="",S112=""),"",IF(SUM(O112,S112)&gt;=30,SUM(O112,S112)-30,SUM(O112,S112)))</f>
        <v>0</v>
      </c>
      <c r="I112" s="309">
        <v>2.1000000000000001E-2</v>
      </c>
      <c r="J112" s="309">
        <v>6.9999999999999999E-4</v>
      </c>
      <c r="K112" s="287">
        <f>(G112*I112)+(H112*J112)</f>
        <v>1.26</v>
      </c>
      <c r="L112" s="107"/>
      <c r="M112" s="441"/>
      <c r="O112" s="310">
        <f>IF(ISBLANK(E112),"",IF(AND(YEAR(E112)=YEAR(F112),MONTH(E112)=MONTH(F112)),DAY(F112)-DAY(E112)+1,IF(DAY(E112)=1,0,DAY(DATE(YEAR(E112),MONTH(E112)+1,0))-DAY(E112)+1)))</f>
        <v>0</v>
      </c>
      <c r="P112" s="311">
        <f>IF(ISBLANK(E112),"",IF(AND(YEAR(E112)=YEAR(F112),MONTH(E112)=MONTH(F112)),0,IF(DAY(E112)=1,1,0)))</f>
        <v>1</v>
      </c>
      <c r="Q112" s="311">
        <f>IF(OR(E112="",F112=""),"",IF(AND(YEAR(E112)=YEAR(F112),MONTH(E112)=MONTH(F112)),0,DATEDIF(E112,F112,"M")-IF(DAY(E112)&lt;=DAY(F112),1,0)))</f>
        <v>58</v>
      </c>
      <c r="R112" s="311">
        <f>IF(ISBLANK(F112),"",IF(AND(YEAR(E112)=YEAR(F112),MONTH(E112)=MONTH(F112)),0,IF(DAY(F112)=DAY(DATE(YEAR(F112),MONTH(F112)+1,0)),1,0)))</f>
        <v>1</v>
      </c>
      <c r="S112" s="312">
        <f>IF(ISBLANK(F112),"",IF(AND(YEAR(E112)=YEAR(F112),MONTH(E112)=MONTH(F112)),0,IF(DAY(F112)=DAY(DATE(YEAR(F112),MONTH(F112)+1,0)),0,DAY(F112))))</f>
        <v>0</v>
      </c>
      <c r="U112" s="307"/>
      <c r="V112" s="107"/>
      <c r="W112" s="405"/>
      <c r="X112" s="107"/>
      <c r="Y112" s="107"/>
      <c r="Z112" s="107"/>
      <c r="AA112" s="107"/>
      <c r="AB112" s="107"/>
      <c r="AC112" s="107"/>
      <c r="AD112" s="107"/>
      <c r="AE112" s="107"/>
      <c r="AF112" s="107"/>
      <c r="AG112" s="107"/>
      <c r="AH112" s="107"/>
      <c r="AI112" s="107"/>
      <c r="AJ112" s="107"/>
      <c r="AK112" s="107"/>
      <c r="AL112" s="107"/>
      <c r="AM112" s="107"/>
      <c r="AN112" s="107"/>
      <c r="AO112" s="107"/>
      <c r="AP112" s="107"/>
      <c r="AQ112" s="107"/>
      <c r="AR112" s="107"/>
      <c r="AS112" s="107"/>
      <c r="AT112" s="107"/>
      <c r="AU112" s="107"/>
      <c r="AV112" s="107"/>
      <c r="AW112" s="107"/>
      <c r="AX112" s="107"/>
      <c r="AY112" s="107"/>
      <c r="AZ112" s="107"/>
      <c r="BA112" s="107"/>
      <c r="BB112" s="107"/>
      <c r="BC112" s="107"/>
      <c r="BD112" s="107"/>
      <c r="BE112" s="107"/>
      <c r="BF112" s="107"/>
      <c r="BG112" s="107"/>
      <c r="BH112" s="107"/>
      <c r="BI112" s="107"/>
      <c r="BJ112" s="107"/>
      <c r="BK112" s="107"/>
      <c r="BL112" s="107"/>
      <c r="BM112" s="107"/>
      <c r="BN112" s="107"/>
      <c r="BO112" s="107"/>
      <c r="BP112" s="107"/>
      <c r="BQ112" s="107"/>
      <c r="BR112" s="107"/>
      <c r="BS112" s="107"/>
      <c r="BT112" s="107"/>
      <c r="BU112" s="107"/>
      <c r="BV112" s="107"/>
      <c r="BW112" s="107"/>
      <c r="BX112" s="107"/>
      <c r="BY112" s="107"/>
      <c r="BZ112" s="107"/>
      <c r="CA112" s="107"/>
      <c r="CB112" s="107"/>
      <c r="CC112" s="107"/>
      <c r="CD112" s="107"/>
      <c r="CE112" s="107"/>
      <c r="CF112" s="107"/>
      <c r="CG112" s="107"/>
      <c r="CH112" s="107"/>
      <c r="CI112" s="107"/>
      <c r="CJ112" s="107"/>
    </row>
    <row r="113" spans="1:88" ht="15.95" customHeight="1" x14ac:dyDescent="0.3">
      <c r="A113" s="102"/>
      <c r="B113" s="781" t="s">
        <v>950</v>
      </c>
      <c r="C113" s="45"/>
      <c r="D113" s="45"/>
      <c r="E113" s="495"/>
      <c r="F113" s="495"/>
      <c r="G113" s="507" t="str">
        <f>IF(Q113="","",Q113+P113+R113+IF(SUM(O113,S113)&gt;29,1,0))</f>
        <v/>
      </c>
      <c r="H113" s="508" t="str">
        <f>IF(OR(O113="",S113=""),"",IF(SUM(O113,S113)&gt;=30,SUM(O113,S113)-30,SUM(O113,S113)))</f>
        <v/>
      </c>
      <c r="I113" s="775">
        <v>1.7999999999999999E-2</v>
      </c>
      <c r="J113" s="775">
        <v>5.9999999999999995E-4</v>
      </c>
      <c r="K113" s="790">
        <f>IF(SUM(L113:L115)&gt;1,1,ROUND(SUM(L113:L115),3))</f>
        <v>0</v>
      </c>
      <c r="L113" s="778">
        <f>SUM(G113:G115)*I113+SUM(H113:H115)*J113</f>
        <v>0</v>
      </c>
      <c r="M113" s="802">
        <v>1</v>
      </c>
      <c r="N113" s="793">
        <v>1</v>
      </c>
      <c r="O113" s="509" t="str">
        <f>IF(ISBLANK(E113),"",IF(AND(YEAR(E113)=YEAR(F113),MONTH(E113)=MONTH(F113)),DAY(F113)-DAY(E113)+1,IF(DAY(E113)=1,0,DAY(DATE(YEAR(E113),MONTH(E113)+1,0))-DAY(E113)+1)))</f>
        <v/>
      </c>
      <c r="P113" s="510" t="str">
        <f>IF(ISBLANK(E113),"",IF(AND(YEAR(E113)=YEAR(F113),MONTH(E113)=MONTH(F113)),0,IF(DAY(E113)=1,1,0)))</f>
        <v/>
      </c>
      <c r="Q113" s="510" t="str">
        <f>IF(OR(E113="",F113=""),"",IF(AND(YEAR(E113)=YEAR(F113),MONTH(E113)=MONTH(F113)),0,DATEDIF(E113,F113,"M")-IF(DAY(E113)&lt;=DAY(F113),1,0)))</f>
        <v/>
      </c>
      <c r="R113" s="510" t="str">
        <f>IF(ISBLANK(F113),"",IF(AND(YEAR(E113)=YEAR(F113),MONTH(E113)=MONTH(F113)),0,IF(DAY(F113)=DAY(DATE(YEAR(F113),MONTH(F113)+1,0)),1,0)))</f>
        <v/>
      </c>
      <c r="S113" s="511" t="str">
        <f>IF(ISBLANK(F113),"",IF(AND(YEAR(E113)=YEAR(F113),MONTH(E113)=MONTH(F113)),0,IF(DAY(F113)=DAY(DATE(YEAR(F113),MONTH(F113)+1,0)),0,DAY(F113))))</f>
        <v/>
      </c>
      <c r="T113" s="108"/>
      <c r="U113" s="313"/>
      <c r="V113" s="108"/>
      <c r="W113" s="268"/>
      <c r="X113" s="108"/>
      <c r="Y113" s="108"/>
      <c r="Z113" s="108"/>
      <c r="AA113" s="108"/>
      <c r="AB113" s="108"/>
      <c r="AC113" s="108"/>
      <c r="AD113" s="108"/>
      <c r="AE113" s="108"/>
      <c r="AF113" s="108"/>
      <c r="AG113" s="108"/>
      <c r="AH113" s="108"/>
      <c r="AI113" s="108"/>
      <c r="AJ113" s="108"/>
      <c r="AK113" s="108"/>
      <c r="AL113" s="108"/>
      <c r="AM113" s="108"/>
      <c r="AN113" s="108"/>
      <c r="AO113" s="108"/>
      <c r="AP113" s="108"/>
      <c r="AQ113" s="108"/>
      <c r="AR113" s="108"/>
      <c r="AS113" s="108"/>
      <c r="AT113" s="108"/>
      <c r="AU113" s="108"/>
      <c r="AV113" s="108"/>
      <c r="AW113" s="108"/>
      <c r="AX113" s="108"/>
      <c r="AY113" s="108"/>
      <c r="AZ113" s="108"/>
      <c r="BA113" s="108"/>
      <c r="BB113" s="108"/>
      <c r="BC113" s="108"/>
      <c r="BD113" s="108"/>
      <c r="BE113" s="108"/>
      <c r="BF113" s="108"/>
      <c r="BG113" s="108"/>
      <c r="BH113" s="108"/>
      <c r="BI113" s="108"/>
      <c r="BJ113" s="108"/>
      <c r="BK113" s="108"/>
      <c r="BL113" s="108"/>
      <c r="BM113" s="108"/>
      <c r="BN113" s="108"/>
      <c r="BO113" s="108"/>
      <c r="BP113" s="108"/>
      <c r="BQ113" s="108"/>
      <c r="BR113" s="108"/>
      <c r="BS113" s="108"/>
      <c r="BT113" s="108"/>
      <c r="BU113" s="108"/>
      <c r="BV113" s="108"/>
      <c r="BW113" s="108"/>
      <c r="BX113" s="108"/>
      <c r="BY113" s="108"/>
      <c r="BZ113" s="108"/>
      <c r="CA113" s="108"/>
      <c r="CB113" s="108"/>
      <c r="CC113" s="108"/>
      <c r="CD113" s="108"/>
      <c r="CE113" s="108"/>
      <c r="CF113" s="108"/>
      <c r="CG113" s="108"/>
      <c r="CH113" s="108"/>
      <c r="CI113" s="108"/>
      <c r="CJ113" s="108"/>
    </row>
    <row r="114" spans="1:88" ht="15.95" customHeight="1" x14ac:dyDescent="0.3">
      <c r="A114" s="102"/>
      <c r="B114" s="782"/>
      <c r="C114" s="65"/>
      <c r="D114" s="65"/>
      <c r="E114" s="495"/>
      <c r="F114" s="495"/>
      <c r="G114" s="321">
        <f>IF(Q114="",0,Q114+P114+R114+IF(SUM(O114,S114)&gt;29,1,0))</f>
        <v>0</v>
      </c>
      <c r="H114" s="322">
        <f>IF(OR(O114="",S114=""),0,IF(SUM(O114,S114)&gt;=30,SUM(O114,S114)-30,SUM(O114,S114)))</f>
        <v>0</v>
      </c>
      <c r="I114" s="776"/>
      <c r="J114" s="776"/>
      <c r="K114" s="791"/>
      <c r="L114" s="778"/>
      <c r="M114" s="803"/>
      <c r="N114" s="794"/>
      <c r="O114" s="461" t="str">
        <f>IF(ISBLANK(E114),"",IF(AND(YEAR(E114)=YEAR(F114),MONTH(E114)=MONTH(F114)),DAY(F114)-DAY(E114)+1,IF(DAY(E114)=1,0,DAY(DATE(YEAR(E114),MONTH(E114)+1,0))-DAY(E114)+1)))</f>
        <v/>
      </c>
      <c r="P114" s="238" t="str">
        <f t="shared" ref="P114:P121" si="10">IF(ISBLANK(E114),"",IF(AND(YEAR(E114)=YEAR(F114),MONTH(E114)=MONTH(F114)),0,IF(DAY(E114)=1,1,0)))</f>
        <v/>
      </c>
      <c r="Q114" s="238" t="str">
        <f t="shared" ref="Q114:Q121" si="11">IF(OR(E114="",F114=""),"",IF(AND(YEAR(E114)=YEAR(F114),MONTH(E114)=MONTH(F114)),0,DATEDIF(E114,F114,"M")-IF(DAY(E114)&lt;=DAY(F114),1,0)))</f>
        <v/>
      </c>
      <c r="R114" s="238" t="str">
        <f>IF(ISBLANK(F114),"",IF(AND(YEAR(E114)=YEAR(F114),MONTH(E114)=MONTH(F114)),0,IF(DAY(F114)=DAY(DATE(YEAR(F114),MONTH(F114)+1,0)),1,0)))</f>
        <v/>
      </c>
      <c r="S114" s="316" t="str">
        <f t="shared" ref="S114:S121" si="12">IF(ISBLANK(F114),"",IF(AND(YEAR(E114)=YEAR(F114),MONTH(E114)=MONTH(F114)),0,IF(DAY(F114)=DAY(DATE(YEAR(F114),MONTH(F114)+1,0)),0,DAY(F114))))</f>
        <v/>
      </c>
      <c r="T114" s="317"/>
      <c r="U114" s="245"/>
      <c r="W114" s="109"/>
    </row>
    <row r="115" spans="1:88" ht="15.95" customHeight="1" thickBot="1" x14ac:dyDescent="0.35">
      <c r="A115" s="102"/>
      <c r="B115" s="783"/>
      <c r="C115" s="429"/>
      <c r="D115" s="429"/>
      <c r="E115" s="495"/>
      <c r="F115" s="495"/>
      <c r="G115" s="314">
        <f t="shared" ref="G115:G126" si="13">IF(Q115="",0,Q115+P115+R115+IF(SUM(O115,S115)&gt;29,1,0))</f>
        <v>0</v>
      </c>
      <c r="H115" s="315">
        <f>IF(OR(O115="",S115=""),0,IF(SUM(O115,S115)&gt;=30,SUM(O115,S115)-30,SUM(O115,S115)))</f>
        <v>0</v>
      </c>
      <c r="I115" s="777"/>
      <c r="J115" s="777"/>
      <c r="K115" s="792"/>
      <c r="L115" s="778"/>
      <c r="M115" s="803"/>
      <c r="N115" s="794"/>
      <c r="O115" s="462" t="str">
        <f t="shared" ref="O115:O123" si="14">IF(ISBLANK(E115),"",IF(AND(YEAR(E115)=YEAR(F115),MONTH(E115)=MONTH(F115)),DAY(F115)-DAY(E115)+1,IF(DAY(E115)=1,0,DAY(DATE(YEAR(E115),MONTH(E115)+1,0))-DAY(E115)+1)))</f>
        <v/>
      </c>
      <c r="P115" s="228" t="str">
        <f t="shared" si="10"/>
        <v/>
      </c>
      <c r="Q115" s="228" t="str">
        <f t="shared" si="11"/>
        <v/>
      </c>
      <c r="R115" s="228" t="str">
        <f>IF(ISBLANK(F115),"",IF(AND(YEAR(E115)=YEAR(F115),MONTH(E115)=MONTH(F115)),0,IF(DAY(F115)=DAY(DATE(YEAR(F115),MONTH(F115)+1,0)),1,0)))</f>
        <v/>
      </c>
      <c r="S115" s="272" t="str">
        <f t="shared" si="12"/>
        <v/>
      </c>
      <c r="T115" s="245"/>
      <c r="U115" s="245"/>
      <c r="W115" s="109"/>
    </row>
    <row r="116" spans="1:88" ht="15.95" customHeight="1" x14ac:dyDescent="0.3">
      <c r="A116" s="102"/>
      <c r="B116" s="781" t="s">
        <v>1744</v>
      </c>
      <c r="C116" s="429"/>
      <c r="D116" s="429"/>
      <c r="E116" s="495"/>
      <c r="F116" s="495"/>
      <c r="G116" s="314">
        <f t="shared" si="13"/>
        <v>0</v>
      </c>
      <c r="H116" s="315">
        <f t="shared" ref="H116:H121" si="15">IF(OR(O116="",S116=""),0,IF(SUM(O116,S116)&gt;=30,SUM(O116,S116)-30,SUM(O116,S116)))</f>
        <v>0</v>
      </c>
      <c r="I116" s="775">
        <v>1.29E-2</v>
      </c>
      <c r="J116" s="775">
        <v>4.2999999999999999E-4</v>
      </c>
      <c r="K116" s="790">
        <f>IF(SUM(L116)&gt;1,1,ROUND(SUM(L116),3))</f>
        <v>0</v>
      </c>
      <c r="L116" s="778">
        <f>SUM(G116:G123)*I116+SUM(H116:H123)*J116</f>
        <v>0</v>
      </c>
      <c r="M116" s="803"/>
      <c r="N116" s="794"/>
      <c r="O116" s="460" t="str">
        <f t="shared" si="14"/>
        <v/>
      </c>
      <c r="P116" s="723" t="str">
        <f t="shared" si="10"/>
        <v/>
      </c>
      <c r="Q116" s="723" t="str">
        <f t="shared" si="11"/>
        <v/>
      </c>
      <c r="R116" s="723" t="str">
        <f t="shared" ref="R116:R121" si="16">IF(ISBLANK(F116),"",IF(AND(YEAR(E116)=YEAR(F116),MONTH(E116)=MONTH(F116)),0,IF(DAY(F116)=DAY(DATE(YEAR(F116),MONTH(F116)+1,0)),1,0)))</f>
        <v/>
      </c>
      <c r="S116" s="724" t="str">
        <f t="shared" si="12"/>
        <v/>
      </c>
      <c r="T116" s="245"/>
      <c r="U116" s="245"/>
      <c r="W116" s="109"/>
    </row>
    <row r="117" spans="1:88" ht="15.95" customHeight="1" x14ac:dyDescent="0.3">
      <c r="A117" s="102"/>
      <c r="B117" s="782"/>
      <c r="C117" s="429"/>
      <c r="D117" s="429"/>
      <c r="E117" s="495"/>
      <c r="F117" s="495"/>
      <c r="G117" s="314">
        <f t="shared" si="13"/>
        <v>0</v>
      </c>
      <c r="H117" s="315">
        <f t="shared" si="15"/>
        <v>0</v>
      </c>
      <c r="I117" s="776"/>
      <c r="J117" s="776"/>
      <c r="K117" s="791"/>
      <c r="L117" s="778"/>
      <c r="M117" s="803"/>
      <c r="N117" s="794"/>
      <c r="O117" s="461" t="str">
        <f t="shared" si="14"/>
        <v/>
      </c>
      <c r="P117" s="238" t="str">
        <f t="shared" si="10"/>
        <v/>
      </c>
      <c r="Q117" s="238" t="str">
        <f t="shared" si="11"/>
        <v/>
      </c>
      <c r="R117" s="238" t="str">
        <f t="shared" si="16"/>
        <v/>
      </c>
      <c r="S117" s="316" t="str">
        <f t="shared" si="12"/>
        <v/>
      </c>
      <c r="T117" s="317"/>
      <c r="U117" s="323"/>
      <c r="W117" s="109"/>
    </row>
    <row r="118" spans="1:88" ht="15.95" customHeight="1" x14ac:dyDescent="0.3">
      <c r="A118" s="102"/>
      <c r="B118" s="782"/>
      <c r="C118" s="429"/>
      <c r="D118" s="429"/>
      <c r="E118" s="495"/>
      <c r="F118" s="495"/>
      <c r="G118" s="314">
        <f t="shared" si="13"/>
        <v>0</v>
      </c>
      <c r="H118" s="315">
        <f t="shared" si="15"/>
        <v>0</v>
      </c>
      <c r="I118" s="776"/>
      <c r="J118" s="776"/>
      <c r="K118" s="791"/>
      <c r="L118" s="778"/>
      <c r="M118" s="803"/>
      <c r="N118" s="794"/>
      <c r="O118" s="464" t="str">
        <f t="shared" si="14"/>
        <v/>
      </c>
      <c r="P118" s="221" t="str">
        <f t="shared" si="10"/>
        <v/>
      </c>
      <c r="Q118" s="221" t="str">
        <f t="shared" si="11"/>
        <v/>
      </c>
      <c r="R118" s="221" t="str">
        <f t="shared" si="16"/>
        <v/>
      </c>
      <c r="S118" s="269" t="str">
        <f t="shared" si="12"/>
        <v/>
      </c>
      <c r="T118" s="245"/>
      <c r="U118" s="245"/>
      <c r="W118" s="109"/>
    </row>
    <row r="119" spans="1:88" ht="15.95" customHeight="1" x14ac:dyDescent="0.3">
      <c r="A119" s="102"/>
      <c r="B119" s="782"/>
      <c r="C119" s="429"/>
      <c r="D119" s="429"/>
      <c r="E119" s="495"/>
      <c r="F119" s="495"/>
      <c r="G119" s="314">
        <f t="shared" si="13"/>
        <v>0</v>
      </c>
      <c r="H119" s="315">
        <f t="shared" si="15"/>
        <v>0</v>
      </c>
      <c r="I119" s="776"/>
      <c r="J119" s="776"/>
      <c r="K119" s="791"/>
      <c r="L119" s="778"/>
      <c r="M119" s="803"/>
      <c r="N119" s="794"/>
      <c r="O119" s="464" t="str">
        <f t="shared" si="14"/>
        <v/>
      </c>
      <c r="P119" s="221" t="str">
        <f t="shared" si="10"/>
        <v/>
      </c>
      <c r="Q119" s="221" t="str">
        <f t="shared" si="11"/>
        <v/>
      </c>
      <c r="R119" s="221" t="str">
        <f t="shared" si="16"/>
        <v/>
      </c>
      <c r="S119" s="269" t="str">
        <f t="shared" si="12"/>
        <v/>
      </c>
      <c r="T119" s="245"/>
      <c r="U119" s="245"/>
      <c r="W119" s="109"/>
    </row>
    <row r="120" spans="1:88" ht="15.95" customHeight="1" x14ac:dyDescent="0.3">
      <c r="A120" s="102"/>
      <c r="B120" s="782"/>
      <c r="C120" s="429"/>
      <c r="D120" s="429"/>
      <c r="E120" s="495"/>
      <c r="F120" s="495"/>
      <c r="G120" s="314">
        <f t="shared" si="13"/>
        <v>0</v>
      </c>
      <c r="H120" s="315">
        <f t="shared" si="15"/>
        <v>0</v>
      </c>
      <c r="I120" s="776"/>
      <c r="J120" s="776"/>
      <c r="K120" s="791"/>
      <c r="L120" s="778"/>
      <c r="M120" s="803"/>
      <c r="N120" s="794"/>
      <c r="O120" s="464" t="str">
        <f t="shared" si="14"/>
        <v/>
      </c>
      <c r="P120" s="221" t="str">
        <f t="shared" si="10"/>
        <v/>
      </c>
      <c r="Q120" s="221" t="str">
        <f t="shared" si="11"/>
        <v/>
      </c>
      <c r="R120" s="221" t="str">
        <f t="shared" si="16"/>
        <v/>
      </c>
      <c r="S120" s="269" t="str">
        <f t="shared" si="12"/>
        <v/>
      </c>
      <c r="T120" s="245"/>
      <c r="U120" s="245"/>
      <c r="W120" s="109"/>
    </row>
    <row r="121" spans="1:88" ht="15.95" customHeight="1" x14ac:dyDescent="0.3">
      <c r="A121" s="102"/>
      <c r="B121" s="782"/>
      <c r="C121" s="755"/>
      <c r="D121" s="755"/>
      <c r="E121" s="495"/>
      <c r="F121" s="495"/>
      <c r="G121" s="314">
        <f t="shared" si="13"/>
        <v>0</v>
      </c>
      <c r="H121" s="315">
        <f t="shared" si="15"/>
        <v>0</v>
      </c>
      <c r="I121" s="776"/>
      <c r="J121" s="776"/>
      <c r="K121" s="791"/>
      <c r="L121" s="778"/>
      <c r="M121" s="803"/>
      <c r="N121" s="794"/>
      <c r="O121" s="464" t="str">
        <f t="shared" si="14"/>
        <v/>
      </c>
      <c r="P121" s="221" t="str">
        <f t="shared" si="10"/>
        <v/>
      </c>
      <c r="Q121" s="221" t="str">
        <f t="shared" si="11"/>
        <v/>
      </c>
      <c r="R121" s="221" t="str">
        <f t="shared" si="16"/>
        <v/>
      </c>
      <c r="S121" s="269" t="str">
        <f t="shared" si="12"/>
        <v/>
      </c>
      <c r="T121" s="245"/>
      <c r="U121" s="245"/>
      <c r="W121" s="405"/>
    </row>
    <row r="122" spans="1:88" ht="15.95" customHeight="1" x14ac:dyDescent="0.3">
      <c r="A122" s="102"/>
      <c r="B122" s="782"/>
      <c r="C122" s="718"/>
      <c r="D122" s="718"/>
      <c r="E122" s="495"/>
      <c r="F122" s="495"/>
      <c r="G122" s="314">
        <f t="shared" ref="G122" si="17">IF(Q122="",0,Q122+P122+R122+IF(SUM(O122,S122)&gt;29,1,0))</f>
        <v>0</v>
      </c>
      <c r="H122" s="315">
        <f t="shared" ref="H122" si="18">IF(OR(O122="",S122=""),0,IF(SUM(O122,S122)&gt;=30,SUM(O122,S122)-30,SUM(O122,S122)))</f>
        <v>0</v>
      </c>
      <c r="I122" s="776"/>
      <c r="J122" s="776"/>
      <c r="K122" s="791"/>
      <c r="L122" s="778"/>
      <c r="M122" s="803"/>
      <c r="N122" s="794"/>
      <c r="O122" s="464" t="str">
        <f t="shared" ref="O122" si="19">IF(ISBLANK(E122),"",IF(AND(YEAR(E122)=YEAR(F122),MONTH(E122)=MONTH(F122)),DAY(F122)-DAY(E122)+1,IF(DAY(E122)=1,0,DAY(DATE(YEAR(E122),MONTH(E122)+1,0))-DAY(E122)+1)))</f>
        <v/>
      </c>
      <c r="P122" s="221" t="str">
        <f t="shared" ref="P122" si="20">IF(ISBLANK(E122),"",IF(AND(YEAR(E122)=YEAR(F122),MONTH(E122)=MONTH(F122)),0,IF(DAY(E122)=1,1,0)))</f>
        <v/>
      </c>
      <c r="Q122" s="221" t="str">
        <f t="shared" ref="Q122" si="21">IF(OR(E122="",F122=""),"",IF(AND(YEAR(E122)=YEAR(F122),MONTH(E122)=MONTH(F122)),0,DATEDIF(E122,F122,"M")-IF(DAY(E122)&lt;=DAY(F122),1,0)))</f>
        <v/>
      </c>
      <c r="R122" s="221" t="str">
        <f t="shared" ref="R122" si="22">IF(ISBLANK(F122),"",IF(AND(YEAR(E122)=YEAR(F122),MONTH(E122)=MONTH(F122)),0,IF(DAY(F122)=DAY(DATE(YEAR(F122),MONTH(F122)+1,0)),1,0)))</f>
        <v/>
      </c>
      <c r="S122" s="269" t="str">
        <f t="shared" ref="S122" si="23">IF(ISBLANK(F122),"",IF(AND(YEAR(E122)=YEAR(F122),MONTH(E122)=MONTH(F122)),0,IF(DAY(F122)=DAY(DATE(YEAR(F122),MONTH(F122)+1,0)),0,DAY(F122))))</f>
        <v/>
      </c>
      <c r="T122" s="245"/>
      <c r="U122" s="245"/>
      <c r="W122" s="405"/>
    </row>
    <row r="123" spans="1:88" ht="15.95" customHeight="1" x14ac:dyDescent="0.3">
      <c r="A123" s="102"/>
      <c r="B123" s="783"/>
      <c r="C123" s="429"/>
      <c r="D123" s="429"/>
      <c r="E123" s="495"/>
      <c r="F123" s="495"/>
      <c r="G123" s="314">
        <f t="shared" si="13"/>
        <v>0</v>
      </c>
      <c r="H123" s="315">
        <f t="shared" ref="H123:H128" si="24">IF(OR(O123="",S123=""),0,IF(SUM(O123,S123)&gt;=30,SUM(O123,S123)-30,SUM(O123,S123)))</f>
        <v>0</v>
      </c>
      <c r="I123" s="777"/>
      <c r="J123" s="777"/>
      <c r="K123" s="792"/>
      <c r="L123" s="778"/>
      <c r="M123" s="803"/>
      <c r="N123" s="794"/>
      <c r="O123" s="464" t="str">
        <f t="shared" si="14"/>
        <v/>
      </c>
      <c r="P123" s="221" t="str">
        <f t="shared" ref="P123:P169" si="25">IF(ISBLANK(E123),"",IF(AND(YEAR(E123)=YEAR(F123),MONTH(E123)=MONTH(F123)),0,IF(DAY(E123)=1,1,0)))</f>
        <v/>
      </c>
      <c r="Q123" s="221" t="str">
        <f t="shared" ref="Q123:Q169" si="26">IF(OR(E123="",F123=""),"",IF(AND(YEAR(E123)=YEAR(F123),MONTH(E123)=MONTH(F123)),0,DATEDIF(E123,F123,"M")-IF(DAY(E123)&lt;=DAY(F123),1,0)))</f>
        <v/>
      </c>
      <c r="R123" s="221" t="str">
        <f t="shared" ref="R123:R169" si="27">IF(ISBLANK(F123),"",IF(AND(YEAR(E123)=YEAR(F123),MONTH(E123)=MONTH(F123)),0,IF(DAY(F123)=DAY(DATE(YEAR(F123),MONTH(F123)+1,0)),1,0)))</f>
        <v/>
      </c>
      <c r="S123" s="269" t="str">
        <f t="shared" ref="S123:S169" si="28">IF(ISBLANK(F123),"",IF(AND(YEAR(E123)=YEAR(F123),MONTH(E123)=MONTH(F123)),0,IF(DAY(F123)=DAY(DATE(YEAR(F123),MONTH(F123)+1,0)),0,DAY(F123))))</f>
        <v/>
      </c>
      <c r="T123" s="245"/>
      <c r="U123" s="245"/>
      <c r="W123" s="109"/>
    </row>
    <row r="124" spans="1:88" ht="15.95" customHeight="1" x14ac:dyDescent="0.3">
      <c r="A124" s="102"/>
      <c r="B124" s="781" t="s">
        <v>1740</v>
      </c>
      <c r="C124" s="429"/>
      <c r="D124" s="429"/>
      <c r="E124" s="495"/>
      <c r="F124" s="495"/>
      <c r="G124" s="314">
        <f t="shared" si="13"/>
        <v>0</v>
      </c>
      <c r="H124" s="315">
        <f t="shared" si="24"/>
        <v>0</v>
      </c>
      <c r="I124" s="775">
        <v>2.1000000000000001E-2</v>
      </c>
      <c r="J124" s="775">
        <v>6.9999999999999999E-4</v>
      </c>
      <c r="K124" s="790">
        <f>IF(SUM(L124:L127)&gt;0.58,0.58,ROUND(SUM(L124:L127),3))</f>
        <v>0</v>
      </c>
      <c r="L124" s="778">
        <f>SUM(G124:G126)*I124+SUM(H124:H126)*J124</f>
        <v>0</v>
      </c>
      <c r="M124" s="803"/>
      <c r="N124" s="794"/>
      <c r="O124" s="720" t="str">
        <f>IF(ISBLANK(E124),"",IF(AND(YEAR(E124)=YEAR(F124),MONTH(E124)=MONTH(F124)),DAY(F124)-DAY(E124)+1,IF(DAY(E124)=1,0,DAY(DATE(YEAR(E124),MONTH(E124)+1,0))-DAY(E124)+1)))</f>
        <v/>
      </c>
      <c r="P124" s="721" t="str">
        <f t="shared" si="25"/>
        <v/>
      </c>
      <c r="Q124" s="721" t="str">
        <f t="shared" si="26"/>
        <v/>
      </c>
      <c r="R124" s="721" t="str">
        <f t="shared" si="27"/>
        <v/>
      </c>
      <c r="S124" s="722" t="str">
        <f t="shared" si="28"/>
        <v/>
      </c>
      <c r="T124" s="245"/>
      <c r="U124" s="245"/>
      <c r="W124" s="109"/>
    </row>
    <row r="125" spans="1:88" ht="15.95" customHeight="1" x14ac:dyDescent="0.3">
      <c r="A125" s="102"/>
      <c r="B125" s="782"/>
      <c r="C125" s="755"/>
      <c r="D125" s="755"/>
      <c r="E125" s="495"/>
      <c r="F125" s="495"/>
      <c r="G125" s="314">
        <f t="shared" ref="G125" si="29">IF(Q125="",0,Q125+P125+R125+IF(SUM(O125,S125)&gt;29,1,0))</f>
        <v>0</v>
      </c>
      <c r="H125" s="315">
        <f t="shared" si="24"/>
        <v>0</v>
      </c>
      <c r="I125" s="776"/>
      <c r="J125" s="776"/>
      <c r="K125" s="791"/>
      <c r="L125" s="778"/>
      <c r="M125" s="803"/>
      <c r="N125" s="794"/>
      <c r="O125" s="533" t="str">
        <f>IF(ISBLANK(E125),"",IF(AND(YEAR(E125)=YEAR(F125),MONTH(E125)=MONTH(F125)),DAY(F125)-DAY(E125)+1,IF(DAY(E125)=1,0,DAY(DATE(YEAR(E125),MONTH(E125)+1,0))-DAY(E125)+1)))</f>
        <v/>
      </c>
      <c r="P125" s="534" t="str">
        <f t="shared" ref="P125" si="30">IF(ISBLANK(E125),"",IF(AND(YEAR(E125)=YEAR(F125),MONTH(E125)=MONTH(F125)),0,IF(DAY(E125)=1,1,0)))</f>
        <v/>
      </c>
      <c r="Q125" s="534" t="str">
        <f t="shared" ref="Q125" si="31">IF(OR(E125="",F125=""),"",IF(AND(YEAR(E125)=YEAR(F125),MONTH(E125)=MONTH(F125)),0,DATEDIF(E125,F125,"M")-IF(DAY(E125)&lt;=DAY(F125),1,0)))</f>
        <v/>
      </c>
      <c r="R125" s="534" t="str">
        <f t="shared" ref="R125" si="32">IF(ISBLANK(F125),"",IF(AND(YEAR(E125)=YEAR(F125),MONTH(E125)=MONTH(F125)),0,IF(DAY(F125)=DAY(DATE(YEAR(F125),MONTH(F125)+1,0)),1,0)))</f>
        <v/>
      </c>
      <c r="S125" s="535" t="str">
        <f t="shared" ref="S125" si="33">IF(ISBLANK(F125),"",IF(AND(YEAR(E125)=YEAR(F125),MONTH(E125)=MONTH(F125)),0,IF(DAY(F125)=DAY(DATE(YEAR(F125),MONTH(F125)+1,0)),0,DAY(F125))))</f>
        <v/>
      </c>
      <c r="T125" s="245"/>
      <c r="U125" s="245"/>
      <c r="W125" s="405"/>
    </row>
    <row r="126" spans="1:88" ht="15.95" customHeight="1" x14ac:dyDescent="0.3">
      <c r="A126" s="102"/>
      <c r="B126" s="782"/>
      <c r="C126" s="718"/>
      <c r="D126" s="718"/>
      <c r="E126" s="495"/>
      <c r="F126" s="495"/>
      <c r="G126" s="314">
        <f t="shared" si="13"/>
        <v>0</v>
      </c>
      <c r="H126" s="315">
        <f t="shared" si="24"/>
        <v>0</v>
      </c>
      <c r="I126" s="777"/>
      <c r="J126" s="777"/>
      <c r="K126" s="791"/>
      <c r="L126" s="778"/>
      <c r="M126" s="803"/>
      <c r="N126" s="794"/>
      <c r="O126" s="533" t="str">
        <f>IF(ISBLANK(E126),"",IF(AND(YEAR(E126)=YEAR(F126),MONTH(E126)=MONTH(F126)),DAY(F126)-DAY(E126)+1,IF(DAY(E126)=1,0,DAY(DATE(YEAR(E126),MONTH(E126)+1,0))-DAY(E126)+1)))</f>
        <v/>
      </c>
      <c r="P126" s="534" t="str">
        <f t="shared" si="25"/>
        <v/>
      </c>
      <c r="Q126" s="534" t="str">
        <f t="shared" si="26"/>
        <v/>
      </c>
      <c r="R126" s="534" t="str">
        <f t="shared" si="27"/>
        <v/>
      </c>
      <c r="S126" s="535" t="str">
        <f t="shared" si="28"/>
        <v/>
      </c>
      <c r="T126" s="245"/>
      <c r="U126" s="245"/>
      <c r="W126" s="405"/>
    </row>
    <row r="127" spans="1:88" ht="15.95" customHeight="1" thickBot="1" x14ac:dyDescent="0.35">
      <c r="A127" s="102"/>
      <c r="B127" s="783"/>
      <c r="C127" s="718"/>
      <c r="D127" s="718"/>
      <c r="E127" s="495"/>
      <c r="F127" s="495"/>
      <c r="G127" s="314">
        <f t="shared" ref="G127" si="34">IF(Q127="",0,Q127+P127+R127+IF(SUM(O127,S127)&gt;29,1,0))</f>
        <v>0</v>
      </c>
      <c r="H127" s="315">
        <f t="shared" si="24"/>
        <v>0</v>
      </c>
      <c r="I127" s="756">
        <v>1.7999999999999999E-2</v>
      </c>
      <c r="J127" s="756">
        <v>5.9999999999999995E-4</v>
      </c>
      <c r="K127" s="792"/>
      <c r="L127" s="526">
        <f>SUM(G127)*I127+SUM(H127)*J127</f>
        <v>0</v>
      </c>
      <c r="M127" s="804"/>
      <c r="N127" s="795"/>
      <c r="O127" s="548" t="str">
        <f>IF(ISBLANK(E127),"",IF(AND(YEAR(E127)=YEAR(F127),MONTH(E127)=MONTH(F127)),DAY(F127)-DAY(E127)+1,IF(DAY(E127)=1,0,DAY(DATE(YEAR(E127),MONTH(E127)+1,0))-DAY(E127)+1)))</f>
        <v/>
      </c>
      <c r="P127" s="549" t="str">
        <f t="shared" ref="P127" si="35">IF(ISBLANK(E127),"",IF(AND(YEAR(E127)=YEAR(F127),MONTH(E127)=MONTH(F127)),0,IF(DAY(E127)=1,1,0)))</f>
        <v/>
      </c>
      <c r="Q127" s="549" t="str">
        <f t="shared" ref="Q127" si="36">IF(OR(E127="",F127=""),"",IF(AND(YEAR(E127)=YEAR(F127),MONTH(E127)=MONTH(F127)),0,DATEDIF(E127,F127,"M")-IF(DAY(E127)&lt;=DAY(F127),1,0)))</f>
        <v/>
      </c>
      <c r="R127" s="549" t="str">
        <f t="shared" ref="R127" si="37">IF(ISBLANK(F127),"",IF(AND(YEAR(E127)=YEAR(F127),MONTH(E127)=MONTH(F127)),0,IF(DAY(F127)=DAY(DATE(YEAR(F127),MONTH(F127)+1,0)),1,0)))</f>
        <v/>
      </c>
      <c r="S127" s="550" t="str">
        <f t="shared" ref="S127" si="38">IF(ISBLANK(F127),"",IF(AND(YEAR(E127)=YEAR(F127),MONTH(E127)=MONTH(F127)),0,IF(DAY(F127)=DAY(DATE(YEAR(F127),MONTH(F127)+1,0)),0,DAY(F127))))</f>
        <v/>
      </c>
      <c r="T127" s="245"/>
      <c r="U127" s="245"/>
      <c r="W127" s="405"/>
    </row>
    <row r="128" spans="1:88" ht="15.95" customHeight="1" x14ac:dyDescent="0.3">
      <c r="A128" s="102"/>
      <c r="B128" s="430" t="s">
        <v>500</v>
      </c>
      <c r="C128" s="65"/>
      <c r="D128" s="65"/>
      <c r="E128" s="495"/>
      <c r="F128" s="495"/>
      <c r="G128" s="321">
        <f>IF(Q128="",0,Q128+P128+R128+IF(SUM(O128,S128)&gt;29,1,0))</f>
        <v>0</v>
      </c>
      <c r="H128" s="322">
        <f t="shared" si="24"/>
        <v>0</v>
      </c>
      <c r="I128" s="474">
        <v>1.4999999999999999E-2</v>
      </c>
      <c r="J128" s="474">
        <v>5.0000000000000001E-4</v>
      </c>
      <c r="K128" s="432">
        <f>IF(L128&gt;0.5,0.5,ROUND(L128,3))</f>
        <v>0</v>
      </c>
      <c r="L128" s="326">
        <f>G128*I128+H128*J128</f>
        <v>0</v>
      </c>
      <c r="M128" s="799">
        <v>0.5</v>
      </c>
      <c r="N128" s="796">
        <v>1.8</v>
      </c>
      <c r="O128" s="460" t="str">
        <f t="shared" ref="O128:O169" si="39">IF(ISBLANK(E128),"",IF(AND(YEAR(E128)=YEAR(F128),MONTH(E128)=MONTH(F128)),DAY(F128)-DAY(E128)+1,IF(DAY(E128)=1,0,DAY(DATE(YEAR(E128),MONTH(E128)+1,0))-DAY(E128)+1)))</f>
        <v/>
      </c>
      <c r="P128" s="238" t="str">
        <f t="shared" si="25"/>
        <v/>
      </c>
      <c r="Q128" s="238" t="str">
        <f t="shared" si="26"/>
        <v/>
      </c>
      <c r="R128" s="238" t="str">
        <f t="shared" si="27"/>
        <v/>
      </c>
      <c r="S128" s="316" t="str">
        <f t="shared" si="28"/>
        <v/>
      </c>
      <c r="T128" s="245"/>
      <c r="U128" s="245"/>
      <c r="W128" s="109"/>
    </row>
    <row r="129" spans="1:23" ht="16.5" customHeight="1" x14ac:dyDescent="0.3">
      <c r="A129" s="102"/>
      <c r="B129" s="781" t="s">
        <v>1743</v>
      </c>
      <c r="C129" s="65"/>
      <c r="D129" s="65"/>
      <c r="E129" s="495"/>
      <c r="F129" s="495"/>
      <c r="G129" s="321">
        <f t="shared" ref="G129:G169" si="40">IF(Q129="",0,Q129+P129+R129+IF(SUM(O129,S129)&gt;29,1,0))</f>
        <v>0</v>
      </c>
      <c r="H129" s="322">
        <f t="shared" ref="H129:H169" si="41">IF(OR(O129="",S129=""),0,IF(SUM(O129,S129)&gt;=30,SUM(O129,S129)-30,SUM(O129,S129)))</f>
        <v>0</v>
      </c>
      <c r="I129" s="520">
        <v>1.7000000000000001E-2</v>
      </c>
      <c r="J129" s="520">
        <v>5.6999999999999998E-4</v>
      </c>
      <c r="K129" s="812">
        <f>IF(L129&gt;0.4,0.4,ROUND(L129,3))</f>
        <v>0</v>
      </c>
      <c r="L129" s="778">
        <f>(G129*I129+H129*J129)+(G130*I130+H130*J130)</f>
        <v>0</v>
      </c>
      <c r="M129" s="800"/>
      <c r="N129" s="797"/>
      <c r="O129" s="461" t="str">
        <f t="shared" si="39"/>
        <v/>
      </c>
      <c r="P129" s="238" t="str">
        <f t="shared" si="25"/>
        <v/>
      </c>
      <c r="Q129" s="238" t="str">
        <f t="shared" si="26"/>
        <v/>
      </c>
      <c r="R129" s="238" t="str">
        <f t="shared" si="27"/>
        <v/>
      </c>
      <c r="S129" s="316" t="str">
        <f t="shared" si="28"/>
        <v/>
      </c>
      <c r="T129" s="245"/>
      <c r="U129" s="245"/>
      <c r="W129" s="109"/>
    </row>
    <row r="130" spans="1:23" ht="18.75" customHeight="1" x14ac:dyDescent="0.3">
      <c r="A130" s="102"/>
      <c r="B130" s="783"/>
      <c r="C130" s="516"/>
      <c r="D130" s="516"/>
      <c r="E130" s="495"/>
      <c r="F130" s="495"/>
      <c r="G130" s="321">
        <f t="shared" si="40"/>
        <v>0</v>
      </c>
      <c r="H130" s="322">
        <f t="shared" si="41"/>
        <v>0</v>
      </c>
      <c r="I130" s="521">
        <v>1.7000000000000001E-2</v>
      </c>
      <c r="J130" s="521">
        <v>5.6999999999999998E-4</v>
      </c>
      <c r="K130" s="813"/>
      <c r="L130" s="778"/>
      <c r="M130" s="800"/>
      <c r="N130" s="797"/>
      <c r="O130" s="461" t="str">
        <f t="shared" ref="O130:O132" si="42">IF(ISBLANK(E130),"",IF(AND(YEAR(E130)=YEAR(F130),MONTH(E130)=MONTH(F130)),DAY(F130)-DAY(E130)+1,IF(DAY(E130)=1,0,DAY(DATE(YEAR(E130),MONTH(E130)+1,0))-DAY(E130)+1)))</f>
        <v/>
      </c>
      <c r="P130" s="238" t="str">
        <f t="shared" ref="P130:P132" si="43">IF(ISBLANK(E130),"",IF(AND(YEAR(E130)=YEAR(F130),MONTH(E130)=MONTH(F130)),0,IF(DAY(E130)=1,1,0)))</f>
        <v/>
      </c>
      <c r="Q130" s="238" t="str">
        <f t="shared" ref="Q130:Q132" si="44">IF(OR(E130="",F130=""),"",IF(AND(YEAR(E130)=YEAR(F130),MONTH(E130)=MONTH(F130)),0,DATEDIF(E130,F130,"M")-IF(DAY(E130)&lt;=DAY(F130),1,0)))</f>
        <v/>
      </c>
      <c r="R130" s="238" t="str">
        <f t="shared" ref="R130:R132" si="45">IF(ISBLANK(F130),"",IF(AND(YEAR(E130)=YEAR(F130),MONTH(E130)=MONTH(F130)),0,IF(DAY(F130)=DAY(DATE(YEAR(F130),MONTH(F130)+1,0)),1,0)))</f>
        <v/>
      </c>
      <c r="S130" s="316" t="str">
        <f t="shared" ref="S130:S132" si="46">IF(ISBLANK(F130),"",IF(AND(YEAR(E130)=YEAR(F130),MONTH(E130)=MONTH(F130)),0,IF(DAY(F130)=DAY(DATE(YEAR(F130),MONTH(F130)+1,0)),0,DAY(F130))))</f>
        <v/>
      </c>
      <c r="T130" s="245"/>
      <c r="U130" s="245"/>
      <c r="W130" s="405"/>
    </row>
    <row r="131" spans="1:23" ht="15.95" customHeight="1" x14ac:dyDescent="0.3">
      <c r="A131" s="102"/>
      <c r="B131" s="781" t="s">
        <v>1742</v>
      </c>
      <c r="C131" s="67"/>
      <c r="D131" s="67"/>
      <c r="E131" s="495"/>
      <c r="F131" s="495"/>
      <c r="G131" s="321">
        <f t="shared" si="40"/>
        <v>0</v>
      </c>
      <c r="H131" s="322">
        <f t="shared" si="41"/>
        <v>0</v>
      </c>
      <c r="I131" s="519">
        <v>1.0500000000000001E-2</v>
      </c>
      <c r="J131" s="519">
        <v>3.5E-4</v>
      </c>
      <c r="K131" s="518">
        <f>IF(L131&gt;0.3,0.3,ROUND(L131,3))</f>
        <v>0</v>
      </c>
      <c r="L131" s="517">
        <f>(G131*I131+H131*J131)</f>
        <v>0</v>
      </c>
      <c r="M131" s="800"/>
      <c r="N131" s="797"/>
      <c r="O131" s="461" t="str">
        <f t="shared" si="42"/>
        <v/>
      </c>
      <c r="P131" s="238" t="str">
        <f t="shared" si="43"/>
        <v/>
      </c>
      <c r="Q131" s="238" t="str">
        <f t="shared" si="44"/>
        <v/>
      </c>
      <c r="R131" s="238" t="str">
        <f t="shared" si="45"/>
        <v/>
      </c>
      <c r="S131" s="316" t="str">
        <f t="shared" si="46"/>
        <v/>
      </c>
      <c r="T131" s="245"/>
      <c r="U131" s="245"/>
      <c r="W131" s="405"/>
    </row>
    <row r="132" spans="1:23" ht="15.95" customHeight="1" x14ac:dyDescent="0.3">
      <c r="A132" s="102"/>
      <c r="B132" s="783"/>
      <c r="C132" s="714"/>
      <c r="D132" s="714"/>
      <c r="E132" s="495"/>
      <c r="F132" s="495"/>
      <c r="G132" s="321">
        <f t="shared" si="40"/>
        <v>0</v>
      </c>
      <c r="H132" s="322">
        <f t="shared" si="41"/>
        <v>0</v>
      </c>
      <c r="I132" s="521">
        <v>1.4999999999999999E-2</v>
      </c>
      <c r="J132" s="521">
        <v>5.0000000000000001E-4</v>
      </c>
      <c r="K132" s="715">
        <f>IF(L132&gt;0.3,0.3,ROUND(L132,3))</f>
        <v>0</v>
      </c>
      <c r="L132" s="517">
        <f>(G132*I132+H132*J132)</f>
        <v>0</v>
      </c>
      <c r="M132" s="800"/>
      <c r="N132" s="797"/>
      <c r="O132" s="461" t="str">
        <f t="shared" si="42"/>
        <v/>
      </c>
      <c r="P132" s="238" t="str">
        <f t="shared" si="43"/>
        <v/>
      </c>
      <c r="Q132" s="238" t="str">
        <f t="shared" si="44"/>
        <v/>
      </c>
      <c r="R132" s="238" t="str">
        <f t="shared" si="45"/>
        <v/>
      </c>
      <c r="S132" s="316" t="str">
        <f t="shared" si="46"/>
        <v/>
      </c>
      <c r="T132" s="245"/>
      <c r="U132" s="245"/>
      <c r="W132" s="109"/>
    </row>
    <row r="133" spans="1:23" ht="15.95" customHeight="1" thickBot="1" x14ac:dyDescent="0.35">
      <c r="A133" s="102"/>
      <c r="B133" s="713" t="s">
        <v>1725</v>
      </c>
      <c r="C133" s="484"/>
      <c r="D133" s="716"/>
      <c r="E133" s="496"/>
      <c r="F133" s="496"/>
      <c r="G133" s="321">
        <f>IF(Q133="",0,Q133+P133+R133+IF(SUM(O133,S133)&gt;29,1,0))</f>
        <v>0</v>
      </c>
      <c r="H133" s="322">
        <f t="shared" ref="H133" si="47">IF(OR(O133="",S133=""),0,IF(SUM(O133,S133)&gt;=30,SUM(O133,S133)-30,SUM(O133,S133)))</f>
        <v>0</v>
      </c>
      <c r="I133" s="519">
        <v>8.3999999999999995E-3</v>
      </c>
      <c r="J133" s="519">
        <v>2.9999999999999997E-4</v>
      </c>
      <c r="K133" s="715">
        <f>IF(L133&gt;0.4,0.4,ROUND(L133,3))</f>
        <v>0</v>
      </c>
      <c r="L133" s="517">
        <f>IF(G133&gt;=12,(G133-12)*I133+H133*J133,0)</f>
        <v>0</v>
      </c>
      <c r="M133" s="801"/>
      <c r="N133" s="797"/>
      <c r="O133" s="461" t="str">
        <f t="shared" ref="O133" si="48">IF(ISBLANK(E133),"",IF(AND(YEAR(E133)=YEAR(F133),MONTH(E133)=MONTH(F133)),DAY(F133)-DAY(E133)+1,IF(DAY(E133)=1,0,DAY(DATE(YEAR(E133),MONTH(E133)+1,0))-DAY(E133)+1)))</f>
        <v/>
      </c>
      <c r="P133" s="238" t="str">
        <f t="shared" ref="P133" si="49">IF(ISBLANK(E133),"",IF(AND(YEAR(E133)=YEAR(F133),MONTH(E133)=MONTH(F133)),0,IF(DAY(E133)=1,1,0)))</f>
        <v/>
      </c>
      <c r="Q133" s="238" t="str">
        <f t="shared" ref="Q133" si="50">IF(OR(E133="",F133=""),"",IF(AND(YEAR(E133)=YEAR(F133),MONTH(E133)=MONTH(F133)),0,DATEDIF(E133,F133,"M")-IF(DAY(E133)&lt;=DAY(F133),1,0)))</f>
        <v/>
      </c>
      <c r="R133" s="238" t="str">
        <f t="shared" ref="R133" si="51">IF(ISBLANK(F133),"",IF(AND(YEAR(E133)=YEAR(F133),MONTH(E133)=MONTH(F133)),0,IF(DAY(F133)=DAY(DATE(YEAR(F133),MONTH(F133)+1,0)),1,0)))</f>
        <v/>
      </c>
      <c r="S133" s="316" t="str">
        <f t="shared" ref="S133" si="52">IF(ISBLANK(F133),"",IF(AND(YEAR(E133)=YEAR(F133),MONTH(E133)=MONTH(F133)),0,IF(DAY(F133)=DAY(DATE(YEAR(F133),MONTH(F133)+1,0)),0,DAY(F133))))</f>
        <v/>
      </c>
      <c r="T133" s="245"/>
      <c r="U133" s="245"/>
      <c r="W133" s="405"/>
    </row>
    <row r="134" spans="1:23" ht="15.95" customHeight="1" x14ac:dyDescent="0.3">
      <c r="A134" s="102"/>
      <c r="B134" s="524" t="s">
        <v>995</v>
      </c>
      <c r="C134" s="453"/>
      <c r="D134" s="717"/>
      <c r="E134" s="522"/>
      <c r="F134" s="522"/>
      <c r="G134" s="454">
        <f t="shared" si="40"/>
        <v>0</v>
      </c>
      <c r="H134" s="455">
        <f t="shared" si="41"/>
        <v>0</v>
      </c>
      <c r="I134" s="456"/>
      <c r="J134" s="456"/>
      <c r="K134" s="527">
        <f>IF(L134&gt;0.9,0.9,ROUND(L134,3))</f>
        <v>0</v>
      </c>
      <c r="L134" s="526">
        <f>G134*I134+H134*J134</f>
        <v>0</v>
      </c>
      <c r="M134" s="528">
        <v>0.9</v>
      </c>
      <c r="N134" s="797"/>
      <c r="O134" s="463" t="str">
        <f t="shared" si="39"/>
        <v/>
      </c>
      <c r="P134" s="457" t="str">
        <f t="shared" si="25"/>
        <v/>
      </c>
      <c r="Q134" s="457" t="str">
        <f t="shared" si="26"/>
        <v/>
      </c>
      <c r="R134" s="457" t="str">
        <f t="shared" si="27"/>
        <v/>
      </c>
      <c r="S134" s="458" t="str">
        <f t="shared" si="28"/>
        <v/>
      </c>
      <c r="T134" s="245"/>
      <c r="U134" s="245"/>
      <c r="W134" s="109"/>
    </row>
    <row r="135" spans="1:23" ht="15.95" customHeight="1" thickBot="1" x14ac:dyDescent="0.35">
      <c r="A135" s="102"/>
      <c r="B135" s="523" t="s">
        <v>996</v>
      </c>
      <c r="C135" s="65"/>
      <c r="D135" s="65"/>
      <c r="E135" s="495"/>
      <c r="F135" s="495"/>
      <c r="G135" s="321">
        <f t="shared" ref="G135" si="53">IF(Q135="",0,Q135+P135+R135+IF(SUM(O135,S135)&gt;29,1,0))</f>
        <v>0</v>
      </c>
      <c r="H135" s="322">
        <f t="shared" ref="H135" si="54">IF(OR(O135="",S135=""),0,IF(SUM(O135,S135)&gt;=30,SUM(O135,S135)-30,SUM(O135,S135)))</f>
        <v>0</v>
      </c>
      <c r="I135" s="68"/>
      <c r="J135" s="68"/>
      <c r="K135" s="525">
        <f>IF(L135&gt;0.6,0.6,ROUND(L135,3))</f>
        <v>0</v>
      </c>
      <c r="L135" s="526">
        <f>G135*I135+H135*J135</f>
        <v>0</v>
      </c>
      <c r="M135" s="608">
        <v>0.6</v>
      </c>
      <c r="N135" s="797"/>
      <c r="O135" s="465" t="str">
        <f t="shared" ref="O135" si="55">IF(ISBLANK(E135),"",IF(AND(YEAR(E135)=YEAR(F135),MONTH(E135)=MONTH(F135)),DAY(F135)-DAY(E135)+1,IF(DAY(E135)=1,0,DAY(DATE(YEAR(E135),MONTH(E135)+1,0))-DAY(E135)+1)))</f>
        <v/>
      </c>
      <c r="P135" s="466" t="str">
        <f t="shared" ref="P135" si="56">IF(ISBLANK(E135),"",IF(AND(YEAR(E135)=YEAR(F135),MONTH(E135)=MONTH(F135)),0,IF(DAY(E135)=1,1,0)))</f>
        <v/>
      </c>
      <c r="Q135" s="466" t="str">
        <f t="shared" ref="Q135" si="57">IF(OR(E135="",F135=""),"",IF(AND(YEAR(E135)=YEAR(F135),MONTH(E135)=MONTH(F135)),0,DATEDIF(E135,F135,"M")-IF(DAY(E135)&lt;=DAY(F135),1,0)))</f>
        <v/>
      </c>
      <c r="R135" s="466" t="str">
        <f t="shared" ref="R135" si="58">IF(ISBLANK(F135),"",IF(AND(YEAR(E135)=YEAR(F135),MONTH(E135)=MONTH(F135)),0,IF(DAY(F135)=DAY(DATE(YEAR(F135),MONTH(F135)+1,0)),1,0)))</f>
        <v/>
      </c>
      <c r="S135" s="467" t="str">
        <f t="shared" ref="S135" si="59">IF(ISBLANK(F135),"",IF(AND(YEAR(E135)=YEAR(F135),MONTH(E135)=MONTH(F135)),0,IF(DAY(F135)=DAY(DATE(YEAR(F135),MONTH(F135)+1,0)),0,DAY(F135))))</f>
        <v/>
      </c>
      <c r="T135" s="245"/>
      <c r="U135" s="245"/>
      <c r="W135" s="405"/>
    </row>
    <row r="136" spans="1:23" ht="15.95" customHeight="1" x14ac:dyDescent="0.3">
      <c r="A136" s="102"/>
      <c r="B136" s="922" t="s">
        <v>501</v>
      </c>
      <c r="C136" s="471"/>
      <c r="D136" s="471"/>
      <c r="E136" s="495"/>
      <c r="F136" s="495"/>
      <c r="G136" s="472">
        <f t="shared" si="40"/>
        <v>0</v>
      </c>
      <c r="H136" s="473">
        <f t="shared" si="41"/>
        <v>0</v>
      </c>
      <c r="I136" s="474">
        <v>8.3999999999999995E-3</v>
      </c>
      <c r="J136" s="474">
        <v>2.7999999999999998E-4</v>
      </c>
      <c r="K136" s="790">
        <f>IF(L136&gt;0.3,0.3,ROUND(L136,3))</f>
        <v>0</v>
      </c>
      <c r="L136" s="778">
        <f>(G136*I136+H136*J136)+(G137*I137+H137*J137)</f>
        <v>0</v>
      </c>
      <c r="M136" s="799">
        <v>0.3</v>
      </c>
      <c r="N136" s="797"/>
      <c r="O136" s="478" t="str">
        <f t="shared" si="39"/>
        <v/>
      </c>
      <c r="P136" s="479" t="str">
        <f t="shared" si="25"/>
        <v/>
      </c>
      <c r="Q136" s="479" t="str">
        <f t="shared" si="26"/>
        <v/>
      </c>
      <c r="R136" s="479" t="str">
        <f t="shared" si="27"/>
        <v/>
      </c>
      <c r="S136" s="480" t="str">
        <f t="shared" si="28"/>
        <v/>
      </c>
      <c r="T136" s="245"/>
      <c r="U136" s="245"/>
      <c r="W136" s="109"/>
    </row>
    <row r="137" spans="1:23" ht="15.95" customHeight="1" thickBot="1" x14ac:dyDescent="0.35">
      <c r="A137" s="102"/>
      <c r="B137" s="811"/>
      <c r="C137" s="77"/>
      <c r="D137" s="77"/>
      <c r="E137" s="496"/>
      <c r="F137" s="496"/>
      <c r="G137" s="438">
        <f t="shared" ref="G137" si="60">IF(Q137="",0,Q137+P137+R137+IF(SUM(O137,S137)&gt;29,1,0))</f>
        <v>0</v>
      </c>
      <c r="H137" s="439">
        <f t="shared" ref="H137" si="61">IF(OR(O137="",S137=""),0,IF(SUM(O137,S137)&gt;=30,SUM(O137,S137)-30,SUM(O137,S137)))</f>
        <v>0</v>
      </c>
      <c r="I137" s="440">
        <v>8.3999999999999995E-3</v>
      </c>
      <c r="J137" s="440">
        <v>2.7999999999999998E-4</v>
      </c>
      <c r="K137" s="807"/>
      <c r="L137" s="778"/>
      <c r="M137" s="801"/>
      <c r="N137" s="797"/>
      <c r="O137" s="475" t="str">
        <f t="shared" ref="O137" si="62">IF(ISBLANK(E137),"",IF(AND(YEAR(E137)=YEAR(F137),MONTH(E137)=MONTH(F137)),DAY(F137)-DAY(E137)+1,IF(DAY(E137)=1,0,DAY(DATE(YEAR(E137),MONTH(E137)+1,0))-DAY(E137)+1)))</f>
        <v/>
      </c>
      <c r="P137" s="476" t="str">
        <f t="shared" ref="P137" si="63">IF(ISBLANK(E137),"",IF(AND(YEAR(E137)=YEAR(F137),MONTH(E137)=MONTH(F137)),0,IF(DAY(E137)=1,1,0)))</f>
        <v/>
      </c>
      <c r="Q137" s="476" t="str">
        <f t="shared" ref="Q137" si="64">IF(OR(E137="",F137=""),"",IF(AND(YEAR(E137)=YEAR(F137),MONTH(E137)=MONTH(F137)),0,DATEDIF(E137,F137,"M")-IF(DAY(E137)&lt;=DAY(F137),1,0)))</f>
        <v/>
      </c>
      <c r="R137" s="476" t="str">
        <f t="shared" ref="R137" si="65">IF(ISBLANK(F137),"",IF(AND(YEAR(E137)=YEAR(F137),MONTH(E137)=MONTH(F137)),0,IF(DAY(F137)=DAY(DATE(YEAR(F137),MONTH(F137)+1,0)),1,0)))</f>
        <v/>
      </c>
      <c r="S137" s="477" t="str">
        <f t="shared" ref="S137" si="66">IF(ISBLANK(F137),"",IF(AND(YEAR(E137)=YEAR(F137),MONTH(E137)=MONTH(F137)),0,IF(DAY(F137)=DAY(DATE(YEAR(F137),MONTH(F137)+1,0)),0,DAY(F137))))</f>
        <v/>
      </c>
      <c r="T137" s="245"/>
      <c r="U137" s="245"/>
      <c r="W137" s="405"/>
    </row>
    <row r="138" spans="1:23" ht="15.95" customHeight="1" x14ac:dyDescent="0.3">
      <c r="A138" s="102"/>
      <c r="B138" s="809" t="s">
        <v>1148</v>
      </c>
      <c r="C138" s="815" t="s">
        <v>1633</v>
      </c>
      <c r="D138" s="816"/>
      <c r="E138" s="816"/>
      <c r="F138" s="817"/>
      <c r="G138" s="321">
        <f t="shared" ref="G138:G147" si="67">IF(Q138="",0,Q138+P138+R138+IF(SUM(O138,S138)&gt;29,1,0))</f>
        <v>0</v>
      </c>
      <c r="H138" s="322">
        <f t="shared" ref="H138:H155" si="68">IF(OR(O138="",S138=""),0,IF(SUM(O138,S138)&gt;=30,SUM(O138,S138)-30,SUM(O138,S138)))</f>
        <v>0</v>
      </c>
      <c r="I138" s="552"/>
      <c r="J138" s="552"/>
      <c r="K138" s="792">
        <f>IF(L138&gt;1.25,1.25,ROUND(L138,3))</f>
        <v>0</v>
      </c>
      <c r="L138" s="944">
        <f>(G138*I138+H138*J138)+(G139*I139+H139*J139)+(G140*I140+H140*J140)+(G141*I141+H141*J141)+(G142*I142+H142*J142)+(G143*I143+H143*J143)+(G144*I144+H144*J144)+(G146*I146+H146*J146)+(G147*I147+H147*J147)</f>
        <v>0</v>
      </c>
      <c r="M138" s="945">
        <v>1.25</v>
      </c>
      <c r="N138" s="797"/>
      <c r="O138" s="461" t="str">
        <f t="shared" si="39"/>
        <v/>
      </c>
      <c r="P138" s="238" t="str">
        <f t="shared" si="25"/>
        <v/>
      </c>
      <c r="Q138" s="238" t="str">
        <f t="shared" si="26"/>
        <v/>
      </c>
      <c r="R138" s="238" t="str">
        <f t="shared" si="27"/>
        <v/>
      </c>
      <c r="S138" s="316" t="str">
        <f t="shared" si="28"/>
        <v/>
      </c>
      <c r="T138" s="245"/>
      <c r="U138" s="245"/>
      <c r="W138" s="109"/>
    </row>
    <row r="139" spans="1:23" ht="15.95" customHeight="1" x14ac:dyDescent="0.3">
      <c r="A139" s="102"/>
      <c r="B139" s="810"/>
      <c r="C139" s="818"/>
      <c r="D139" s="819"/>
      <c r="E139" s="819"/>
      <c r="F139" s="820"/>
      <c r="G139" s="321">
        <f t="shared" si="67"/>
        <v>0</v>
      </c>
      <c r="H139" s="322">
        <f t="shared" si="68"/>
        <v>0</v>
      </c>
      <c r="I139" s="552"/>
      <c r="J139" s="552"/>
      <c r="K139" s="825"/>
      <c r="L139" s="944"/>
      <c r="M139" s="800"/>
      <c r="N139" s="797"/>
      <c r="O139" s="461" t="str">
        <f t="shared" ref="O139:O147" si="69">IF(ISBLANK(E139),"",IF(AND(YEAR(E139)=YEAR(F139),MONTH(E139)=MONTH(F139)),DAY(F139)-DAY(E139)+1,IF(DAY(E139)=1,0,DAY(DATE(YEAR(E139),MONTH(E139)+1,0))-DAY(E139)+1)))</f>
        <v/>
      </c>
      <c r="P139" s="238" t="str">
        <f t="shared" ref="P139:P147" si="70">IF(ISBLANK(E139),"",IF(AND(YEAR(E139)=YEAR(F139),MONTH(E139)=MONTH(F139)),0,IF(DAY(E139)=1,1,0)))</f>
        <v/>
      </c>
      <c r="Q139" s="238" t="str">
        <f t="shared" ref="Q139:Q147" si="71">IF(OR(E139="",F139=""),"",IF(AND(YEAR(E139)=YEAR(F139),MONTH(E139)=MONTH(F139)),0,DATEDIF(E139,F139,"M")-IF(DAY(E139)&lt;=DAY(F139),1,0)))</f>
        <v/>
      </c>
      <c r="R139" s="238" t="str">
        <f t="shared" ref="R139:R147" si="72">IF(ISBLANK(F139),"",IF(AND(YEAR(E139)=YEAR(F139),MONTH(E139)=MONTH(F139)),0,IF(DAY(F139)=DAY(DATE(YEAR(F139),MONTH(F139)+1,0)),1,0)))</f>
        <v/>
      </c>
      <c r="S139" s="316" t="str">
        <f t="shared" ref="S139:S147" si="73">IF(ISBLANK(F139),"",IF(AND(YEAR(E139)=YEAR(F139),MONTH(E139)=MONTH(F139)),0,IF(DAY(F139)=DAY(DATE(YEAR(F139),MONTH(F139)+1,0)),0,DAY(F139))))</f>
        <v/>
      </c>
      <c r="T139" s="245"/>
      <c r="U139" s="245"/>
      <c r="W139" s="109"/>
    </row>
    <row r="140" spans="1:23" ht="15.95" customHeight="1" x14ac:dyDescent="0.3">
      <c r="A140" s="102"/>
      <c r="B140" s="810"/>
      <c r="C140" s="818"/>
      <c r="D140" s="819"/>
      <c r="E140" s="819"/>
      <c r="F140" s="820"/>
      <c r="G140" s="321">
        <f t="shared" si="67"/>
        <v>0</v>
      </c>
      <c r="H140" s="322">
        <f t="shared" si="68"/>
        <v>0</v>
      </c>
      <c r="I140" s="552"/>
      <c r="J140" s="552"/>
      <c r="K140" s="825"/>
      <c r="L140" s="944"/>
      <c r="M140" s="800"/>
      <c r="N140" s="797"/>
      <c r="O140" s="461" t="str">
        <f t="shared" si="69"/>
        <v/>
      </c>
      <c r="P140" s="238" t="str">
        <f t="shared" si="70"/>
        <v/>
      </c>
      <c r="Q140" s="238" t="str">
        <f t="shared" si="71"/>
        <v/>
      </c>
      <c r="R140" s="238" t="str">
        <f t="shared" si="72"/>
        <v/>
      </c>
      <c r="S140" s="316" t="str">
        <f t="shared" si="73"/>
        <v/>
      </c>
      <c r="T140" s="245"/>
      <c r="U140" s="245"/>
      <c r="W140" s="109"/>
    </row>
    <row r="141" spans="1:23" ht="15.95" customHeight="1" x14ac:dyDescent="0.3">
      <c r="A141" s="102"/>
      <c r="B141" s="810"/>
      <c r="C141" s="818"/>
      <c r="D141" s="819"/>
      <c r="E141" s="819"/>
      <c r="F141" s="820"/>
      <c r="G141" s="321">
        <f t="shared" ref="G141" si="74">IF(Q141="",0,Q141+P141+R141+IF(SUM(O141,S141)&gt;29,1,0))</f>
        <v>0</v>
      </c>
      <c r="H141" s="322">
        <f t="shared" ref="H141" si="75">IF(OR(O141="",S141=""),0,IF(SUM(O141,S141)&gt;=30,SUM(O141,S141)-30,SUM(O141,S141)))</f>
        <v>0</v>
      </c>
      <c r="I141" s="552"/>
      <c r="J141" s="552"/>
      <c r="K141" s="790"/>
      <c r="L141" s="944"/>
      <c r="M141" s="800"/>
      <c r="N141" s="797"/>
      <c r="O141" s="461" t="str">
        <f t="shared" ref="O141" si="76">IF(ISBLANK(E141),"",IF(AND(YEAR(E141)=YEAR(F141),MONTH(E141)=MONTH(F141)),DAY(F141)-DAY(E141)+1,IF(DAY(E141)=1,0,DAY(DATE(YEAR(E141),MONTH(E141)+1,0))-DAY(E141)+1)))</f>
        <v/>
      </c>
      <c r="P141" s="238" t="str">
        <f t="shared" ref="P141" si="77">IF(ISBLANK(E141),"",IF(AND(YEAR(E141)=YEAR(F141),MONTH(E141)=MONTH(F141)),0,IF(DAY(E141)=1,1,0)))</f>
        <v/>
      </c>
      <c r="Q141" s="238" t="str">
        <f t="shared" ref="Q141" si="78">IF(OR(E141="",F141=""),"",IF(AND(YEAR(E141)=YEAR(F141),MONTH(E141)=MONTH(F141)),0,DATEDIF(E141,F141,"M")-IF(DAY(E141)&lt;=DAY(F141),1,0)))</f>
        <v/>
      </c>
      <c r="R141" s="238" t="str">
        <f t="shared" ref="R141" si="79">IF(ISBLANK(F141),"",IF(AND(YEAR(E141)=YEAR(F141),MONTH(E141)=MONTH(F141)),0,IF(DAY(F141)=DAY(DATE(YEAR(F141),MONTH(F141)+1,0)),1,0)))</f>
        <v/>
      </c>
      <c r="S141" s="316" t="str">
        <f t="shared" ref="S141" si="80">IF(ISBLANK(F141),"",IF(AND(YEAR(E141)=YEAR(F141),MONTH(E141)=MONTH(F141)),0,IF(DAY(F141)=DAY(DATE(YEAR(F141),MONTH(F141)+1,0)),0,DAY(F141))))</f>
        <v/>
      </c>
      <c r="T141" s="245"/>
      <c r="U141" s="245"/>
      <c r="W141" s="405"/>
    </row>
    <row r="142" spans="1:23" ht="15.95" hidden="1" customHeight="1" x14ac:dyDescent="0.3">
      <c r="A142" s="102"/>
      <c r="B142" s="810"/>
      <c r="C142" s="818"/>
      <c r="D142" s="819"/>
      <c r="E142" s="819"/>
      <c r="F142" s="820"/>
      <c r="G142" s="321">
        <f t="shared" ref="G142:G146" si="81">IF(Q142="",0,Q142+P142+R142+IF(SUM(O142,S142)&gt;29,1,0))</f>
        <v>0</v>
      </c>
      <c r="H142" s="322">
        <f t="shared" ref="H142:H146" si="82">IF(OR(O142="",S142=""),0,IF(SUM(O142,S142)&gt;=30,SUM(O142,S142)-30,SUM(O142,S142)))</f>
        <v>0</v>
      </c>
      <c r="I142" s="552"/>
      <c r="J142" s="552"/>
      <c r="K142" s="790"/>
      <c r="L142" s="944"/>
      <c r="M142" s="800"/>
      <c r="N142" s="797"/>
      <c r="O142" s="461" t="str">
        <f t="shared" si="69"/>
        <v/>
      </c>
      <c r="P142" s="238" t="str">
        <f t="shared" si="70"/>
        <v/>
      </c>
      <c r="Q142" s="238" t="str">
        <f t="shared" si="71"/>
        <v/>
      </c>
      <c r="R142" s="238" t="str">
        <f t="shared" si="72"/>
        <v/>
      </c>
      <c r="S142" s="316" t="str">
        <f t="shared" si="73"/>
        <v/>
      </c>
      <c r="T142" s="245"/>
      <c r="U142" s="245"/>
      <c r="W142" s="405"/>
    </row>
    <row r="143" spans="1:23" ht="15.95" hidden="1" customHeight="1" x14ac:dyDescent="0.3">
      <c r="A143" s="102"/>
      <c r="B143" s="810"/>
      <c r="C143" s="818"/>
      <c r="D143" s="819"/>
      <c r="E143" s="819"/>
      <c r="F143" s="820"/>
      <c r="G143" s="321">
        <f t="shared" si="81"/>
        <v>0</v>
      </c>
      <c r="H143" s="322">
        <f t="shared" si="82"/>
        <v>0</v>
      </c>
      <c r="I143" s="552"/>
      <c r="J143" s="552"/>
      <c r="K143" s="790"/>
      <c r="L143" s="944"/>
      <c r="M143" s="800"/>
      <c r="N143" s="797"/>
      <c r="O143" s="461" t="str">
        <f t="shared" ref="O143:O145" si="83">IF(ISBLANK(E143),"",IF(AND(YEAR(E143)=YEAR(F143),MONTH(E143)=MONTH(F143)),DAY(F143)-DAY(E143)+1,IF(DAY(E143)=1,0,DAY(DATE(YEAR(E143),MONTH(E143)+1,0))-DAY(E143)+1)))</f>
        <v/>
      </c>
      <c r="P143" s="238" t="str">
        <f t="shared" ref="P143:P145" si="84">IF(ISBLANK(E143),"",IF(AND(YEAR(E143)=YEAR(F143),MONTH(E143)=MONTH(F143)),0,IF(DAY(E143)=1,1,0)))</f>
        <v/>
      </c>
      <c r="Q143" s="238" t="str">
        <f t="shared" ref="Q143:Q145" si="85">IF(OR(E143="",F143=""),"",IF(AND(YEAR(E143)=YEAR(F143),MONTH(E143)=MONTH(F143)),0,DATEDIF(E143,F143,"M")-IF(DAY(E143)&lt;=DAY(F143),1,0)))</f>
        <v/>
      </c>
      <c r="R143" s="238" t="str">
        <f t="shared" ref="R143:R145" si="86">IF(ISBLANK(F143),"",IF(AND(YEAR(E143)=YEAR(F143),MONTH(E143)=MONTH(F143)),0,IF(DAY(F143)=DAY(DATE(YEAR(F143),MONTH(F143)+1,0)),1,0)))</f>
        <v/>
      </c>
      <c r="S143" s="316" t="str">
        <f t="shared" ref="S143:S145" si="87">IF(ISBLANK(F143),"",IF(AND(YEAR(E143)=YEAR(F143),MONTH(E143)=MONTH(F143)),0,IF(DAY(F143)=DAY(DATE(YEAR(F143),MONTH(F143)+1,0)),0,DAY(F143))))</f>
        <v/>
      </c>
      <c r="T143" s="245"/>
      <c r="U143" s="245"/>
      <c r="W143" s="405"/>
    </row>
    <row r="144" spans="1:23" ht="15.95" hidden="1" customHeight="1" x14ac:dyDescent="0.3">
      <c r="A144" s="102"/>
      <c r="B144" s="810"/>
      <c r="C144" s="818"/>
      <c r="D144" s="819"/>
      <c r="E144" s="819"/>
      <c r="F144" s="820"/>
      <c r="G144" s="321">
        <f t="shared" si="81"/>
        <v>0</v>
      </c>
      <c r="H144" s="322">
        <f t="shared" si="82"/>
        <v>0</v>
      </c>
      <c r="I144" s="551"/>
      <c r="J144" s="551"/>
      <c r="K144" s="790"/>
      <c r="L144" s="944"/>
      <c r="M144" s="800"/>
      <c r="N144" s="797"/>
      <c r="O144" s="461" t="str">
        <f t="shared" si="83"/>
        <v/>
      </c>
      <c r="P144" s="238" t="str">
        <f t="shared" si="84"/>
        <v/>
      </c>
      <c r="Q144" s="238" t="str">
        <f t="shared" si="85"/>
        <v/>
      </c>
      <c r="R144" s="238" t="str">
        <f t="shared" si="86"/>
        <v/>
      </c>
      <c r="S144" s="316" t="str">
        <f t="shared" si="87"/>
        <v/>
      </c>
      <c r="T144" s="245"/>
      <c r="U144" s="245"/>
      <c r="W144" s="405"/>
    </row>
    <row r="145" spans="1:23" ht="15.95" hidden="1" customHeight="1" x14ac:dyDescent="0.3">
      <c r="A145" s="102"/>
      <c r="B145" s="810"/>
      <c r="C145" s="818"/>
      <c r="D145" s="819"/>
      <c r="E145" s="819"/>
      <c r="F145" s="820"/>
      <c r="G145" s="321">
        <f t="shared" ref="G145" si="88">IF(Q145="",0,Q145+P145+R145+IF(SUM(O145,S145)&gt;29,1,0))</f>
        <v>0</v>
      </c>
      <c r="H145" s="322">
        <f t="shared" ref="H145" si="89">IF(OR(O145="",S145=""),0,IF(SUM(O145,S145)&gt;=30,SUM(O145,S145)-30,SUM(O145,S145)))</f>
        <v>0</v>
      </c>
      <c r="I145" s="551"/>
      <c r="J145" s="551"/>
      <c r="K145" s="790"/>
      <c r="L145" s="944"/>
      <c r="M145" s="800"/>
      <c r="N145" s="797"/>
      <c r="O145" s="461" t="str">
        <f t="shared" si="83"/>
        <v/>
      </c>
      <c r="P145" s="238" t="str">
        <f t="shared" si="84"/>
        <v/>
      </c>
      <c r="Q145" s="238" t="str">
        <f t="shared" si="85"/>
        <v/>
      </c>
      <c r="R145" s="238" t="str">
        <f t="shared" si="86"/>
        <v/>
      </c>
      <c r="S145" s="316" t="str">
        <f t="shared" si="87"/>
        <v/>
      </c>
      <c r="T145" s="245"/>
      <c r="U145" s="245"/>
      <c r="W145" s="405"/>
    </row>
    <row r="146" spans="1:23" ht="15.95" hidden="1" customHeight="1" x14ac:dyDescent="0.3">
      <c r="A146" s="102"/>
      <c r="B146" s="810"/>
      <c r="C146" s="818"/>
      <c r="D146" s="819"/>
      <c r="E146" s="819"/>
      <c r="F146" s="820"/>
      <c r="G146" s="321">
        <f t="shared" si="81"/>
        <v>0</v>
      </c>
      <c r="H146" s="322">
        <f t="shared" si="82"/>
        <v>0</v>
      </c>
      <c r="I146" s="551"/>
      <c r="J146" s="551"/>
      <c r="K146" s="790"/>
      <c r="L146" s="944"/>
      <c r="M146" s="800"/>
      <c r="N146" s="797"/>
      <c r="O146" s="461" t="str">
        <f t="shared" si="69"/>
        <v/>
      </c>
      <c r="P146" s="238" t="str">
        <f>IF(ISBLANK(E146),"",IF(AND(YEAR(E146)=YEAR(F146),MONTH(E146)=MONTH(F146)),0,IF(DAY(E146)=1,1,0)))</f>
        <v/>
      </c>
      <c r="Q146" s="238" t="str">
        <f t="shared" si="71"/>
        <v/>
      </c>
      <c r="R146" s="238" t="str">
        <f t="shared" si="72"/>
        <v/>
      </c>
      <c r="S146" s="316" t="str">
        <f t="shared" si="73"/>
        <v/>
      </c>
      <c r="T146" s="245"/>
      <c r="U146" s="245"/>
      <c r="W146" s="405"/>
    </row>
    <row r="147" spans="1:23" ht="15.95" customHeight="1" thickBot="1" x14ac:dyDescent="0.35">
      <c r="A147" s="102"/>
      <c r="B147" s="811"/>
      <c r="C147" s="821"/>
      <c r="D147" s="822"/>
      <c r="E147" s="822"/>
      <c r="F147" s="823"/>
      <c r="G147" s="321">
        <f t="shared" si="67"/>
        <v>0</v>
      </c>
      <c r="H147" s="319">
        <f t="shared" si="68"/>
        <v>0</v>
      </c>
      <c r="I147" s="551"/>
      <c r="J147" s="551"/>
      <c r="K147" s="790"/>
      <c r="L147" s="944"/>
      <c r="M147" s="801"/>
      <c r="N147" s="797"/>
      <c r="O147" s="461" t="str">
        <f t="shared" si="69"/>
        <v/>
      </c>
      <c r="P147" s="238" t="str">
        <f t="shared" si="70"/>
        <v/>
      </c>
      <c r="Q147" s="238" t="str">
        <f t="shared" si="71"/>
        <v/>
      </c>
      <c r="R147" s="238" t="str">
        <f t="shared" si="72"/>
        <v/>
      </c>
      <c r="S147" s="316" t="str">
        <f t="shared" si="73"/>
        <v/>
      </c>
      <c r="T147" s="245"/>
      <c r="U147" s="245"/>
      <c r="W147" s="109"/>
    </row>
    <row r="148" spans="1:23" ht="15.95" customHeight="1" x14ac:dyDescent="0.3">
      <c r="A148" s="102"/>
      <c r="B148" s="809" t="s">
        <v>948</v>
      </c>
      <c r="C148" s="69"/>
      <c r="D148" s="69"/>
      <c r="E148" s="522"/>
      <c r="F148" s="522"/>
      <c r="G148" s="324">
        <f>IF(Q148="",0,Q148+P148+R148+IF(SUM(O148,S148)&gt;29,1,0))</f>
        <v>0</v>
      </c>
      <c r="H148" s="325">
        <f t="shared" si="68"/>
        <v>0</v>
      </c>
      <c r="I148" s="486">
        <v>4.0000000000000001E-3</v>
      </c>
      <c r="J148" s="486">
        <v>1.2999999999999999E-4</v>
      </c>
      <c r="K148" s="808">
        <f>IF(L148&gt;0.48,0.48,ROUND(L148,3))</f>
        <v>0</v>
      </c>
      <c r="L148" s="778">
        <f>G148*I148+H148*J148+G149*I149+H149*J149+G150*I150+H150*J150+G151*I151+H151*J151+G152*I152+H152*J152+G153*I153+H153*J153</f>
        <v>0</v>
      </c>
      <c r="M148" s="799">
        <v>0.48</v>
      </c>
      <c r="N148" s="797"/>
      <c r="O148" s="478" t="str">
        <f t="shared" si="39"/>
        <v/>
      </c>
      <c r="P148" s="479" t="str">
        <f t="shared" si="25"/>
        <v/>
      </c>
      <c r="Q148" s="479" t="str">
        <f t="shared" si="26"/>
        <v/>
      </c>
      <c r="R148" s="479" t="str">
        <f t="shared" si="27"/>
        <v/>
      </c>
      <c r="S148" s="480" t="str">
        <f t="shared" si="28"/>
        <v/>
      </c>
      <c r="T148" s="245"/>
      <c r="U148" s="245"/>
      <c r="W148" s="405"/>
    </row>
    <row r="149" spans="1:23" ht="15.95" customHeight="1" x14ac:dyDescent="0.3">
      <c r="A149" s="102"/>
      <c r="B149" s="810"/>
      <c r="C149" s="679"/>
      <c r="D149" s="679"/>
      <c r="E149" s="522"/>
      <c r="F149" s="522"/>
      <c r="G149" s="314">
        <f t="shared" ref="G149" si="90">IF(Q149="",0,Q149+P149+R149+IF(SUM(O149,S149)&gt;29,1,0))</f>
        <v>0</v>
      </c>
      <c r="H149" s="315">
        <f t="shared" si="68"/>
        <v>0</v>
      </c>
      <c r="I149" s="532">
        <v>4.0000000000000001E-3</v>
      </c>
      <c r="J149" s="532">
        <v>1.2999999999999999E-4</v>
      </c>
      <c r="K149" s="791"/>
      <c r="L149" s="778"/>
      <c r="M149" s="800"/>
      <c r="N149" s="797"/>
      <c r="O149" s="533" t="str">
        <f t="shared" si="39"/>
        <v/>
      </c>
      <c r="P149" s="534" t="str">
        <f t="shared" si="25"/>
        <v/>
      </c>
      <c r="Q149" s="534" t="str">
        <f t="shared" si="26"/>
        <v/>
      </c>
      <c r="R149" s="534" t="str">
        <f t="shared" si="27"/>
        <v/>
      </c>
      <c r="S149" s="535" t="str">
        <f t="shared" si="28"/>
        <v/>
      </c>
      <c r="T149" s="245"/>
      <c r="U149" s="245"/>
      <c r="W149" s="405"/>
    </row>
    <row r="150" spans="1:23" ht="15.95" customHeight="1" x14ac:dyDescent="0.3">
      <c r="A150" s="102"/>
      <c r="B150" s="810"/>
      <c r="C150" s="679"/>
      <c r="D150" s="679"/>
      <c r="E150" s="522"/>
      <c r="F150" s="522"/>
      <c r="G150" s="314">
        <f t="shared" ref="G150" si="91">IF(Q150="",0,Q150+P150+R150+IF(SUM(O150,S150)&gt;29,1,0))</f>
        <v>0</v>
      </c>
      <c r="H150" s="315">
        <f t="shared" ref="H150" si="92">IF(OR(O150="",S150=""),0,IF(SUM(O150,S150)&gt;=30,SUM(O150,S150)-30,SUM(O150,S150)))</f>
        <v>0</v>
      </c>
      <c r="I150" s="532">
        <v>4.0000000000000001E-3</v>
      </c>
      <c r="J150" s="532">
        <v>1.2999999999999999E-4</v>
      </c>
      <c r="K150" s="791"/>
      <c r="L150" s="778"/>
      <c r="M150" s="800"/>
      <c r="N150" s="797"/>
      <c r="O150" s="533" t="str">
        <f t="shared" ref="O150" si="93">IF(ISBLANK(E150),"",IF(AND(YEAR(E150)=YEAR(F150),MONTH(E150)=MONTH(F150)),DAY(F150)-DAY(E150)+1,IF(DAY(E150)=1,0,DAY(DATE(YEAR(E150),MONTH(E150)+1,0))-DAY(E150)+1)))</f>
        <v/>
      </c>
      <c r="P150" s="534" t="str">
        <f t="shared" ref="P150" si="94">IF(ISBLANK(E150),"",IF(AND(YEAR(E150)=YEAR(F150),MONTH(E150)=MONTH(F150)),0,IF(DAY(E150)=1,1,0)))</f>
        <v/>
      </c>
      <c r="Q150" s="534" t="str">
        <f t="shared" ref="Q150" si="95">IF(OR(E150="",F150=""),"",IF(AND(YEAR(E150)=YEAR(F150),MONTH(E150)=MONTH(F150)),0,DATEDIF(E150,F150,"M")-IF(DAY(E150)&lt;=DAY(F150),1,0)))</f>
        <v/>
      </c>
      <c r="R150" s="534" t="str">
        <f t="shared" ref="R150" si="96">IF(ISBLANK(F150),"",IF(AND(YEAR(E150)=YEAR(F150),MONTH(E150)=MONTH(F150)),0,IF(DAY(F150)=DAY(DATE(YEAR(F150),MONTH(F150)+1,0)),1,0)))</f>
        <v/>
      </c>
      <c r="S150" s="535" t="str">
        <f t="shared" ref="S150" si="97">IF(ISBLANK(F150),"",IF(AND(YEAR(E150)=YEAR(F150),MONTH(E150)=MONTH(F150)),0,IF(DAY(F150)=DAY(DATE(YEAR(F150),MONTH(F150)+1,0)),0,DAY(F150))))</f>
        <v/>
      </c>
      <c r="T150" s="245"/>
      <c r="U150" s="245"/>
      <c r="W150" s="405"/>
    </row>
    <row r="151" spans="1:23" ht="15.95" customHeight="1" x14ac:dyDescent="0.3">
      <c r="A151" s="102"/>
      <c r="B151" s="810"/>
      <c r="C151" s="529"/>
      <c r="D151" s="529"/>
      <c r="E151" s="522"/>
      <c r="F151" s="522"/>
      <c r="G151" s="314">
        <f t="shared" ref="G151:G152" si="98">IF(Q151="",0,Q151+P151+R151+IF(SUM(O151,S151)&gt;29,1,0))</f>
        <v>0</v>
      </c>
      <c r="H151" s="315">
        <f t="shared" si="68"/>
        <v>0</v>
      </c>
      <c r="I151" s="532">
        <v>4.0000000000000001E-3</v>
      </c>
      <c r="J151" s="532">
        <v>1.2999999999999999E-4</v>
      </c>
      <c r="K151" s="791"/>
      <c r="L151" s="778"/>
      <c r="M151" s="800"/>
      <c r="N151" s="797"/>
      <c r="O151" s="533" t="str">
        <f t="shared" si="39"/>
        <v/>
      </c>
      <c r="P151" s="534" t="str">
        <f t="shared" si="25"/>
        <v/>
      </c>
      <c r="Q151" s="534" t="str">
        <f t="shared" si="26"/>
        <v/>
      </c>
      <c r="R151" s="534" t="str">
        <f t="shared" si="27"/>
        <v/>
      </c>
      <c r="S151" s="535" t="str">
        <f t="shared" si="28"/>
        <v/>
      </c>
      <c r="T151" s="245"/>
      <c r="U151" s="245"/>
      <c r="W151" s="405"/>
    </row>
    <row r="152" spans="1:23" ht="15.95" customHeight="1" x14ac:dyDescent="0.3">
      <c r="A152" s="102"/>
      <c r="B152" s="810"/>
      <c r="C152" s="529"/>
      <c r="D152" s="529"/>
      <c r="E152" s="522"/>
      <c r="F152" s="522"/>
      <c r="G152" s="321">
        <f t="shared" si="98"/>
        <v>0</v>
      </c>
      <c r="H152" s="322">
        <f t="shared" si="68"/>
        <v>0</v>
      </c>
      <c r="I152" s="532">
        <v>4.0000000000000001E-3</v>
      </c>
      <c r="J152" s="532">
        <v>1.2999999999999999E-4</v>
      </c>
      <c r="K152" s="791"/>
      <c r="L152" s="778"/>
      <c r="M152" s="800"/>
      <c r="N152" s="797"/>
      <c r="O152" s="536" t="str">
        <f t="shared" si="39"/>
        <v/>
      </c>
      <c r="P152" s="537" t="str">
        <f t="shared" si="25"/>
        <v/>
      </c>
      <c r="Q152" s="537" t="str">
        <f t="shared" si="26"/>
        <v/>
      </c>
      <c r="R152" s="537" t="str">
        <f t="shared" si="27"/>
        <v/>
      </c>
      <c r="S152" s="538" t="str">
        <f t="shared" si="28"/>
        <v/>
      </c>
      <c r="T152" s="245"/>
      <c r="U152" s="245"/>
      <c r="W152" s="405"/>
    </row>
    <row r="153" spans="1:23" ht="15.95" customHeight="1" thickBot="1" x14ac:dyDescent="0.35">
      <c r="A153" s="102"/>
      <c r="B153" s="811"/>
      <c r="C153" s="484"/>
      <c r="D153" s="484"/>
      <c r="E153" s="495"/>
      <c r="F153" s="495"/>
      <c r="G153" s="321">
        <f t="shared" ref="G153:G154" si="99">IF(Q153="",0,Q153+P153+R153+IF(SUM(O153,S153)&gt;29,1,0))</f>
        <v>0</v>
      </c>
      <c r="H153" s="319">
        <f t="shared" si="68"/>
        <v>0</v>
      </c>
      <c r="I153" s="485">
        <v>4.0000000000000001E-3</v>
      </c>
      <c r="J153" s="485">
        <v>1.2999999999999999E-4</v>
      </c>
      <c r="K153" s="807"/>
      <c r="L153" s="778"/>
      <c r="M153" s="801"/>
      <c r="N153" s="797"/>
      <c r="O153" s="475" t="str">
        <f t="shared" ref="O153:O154" si="100">IF(ISBLANK(E153),"",IF(AND(YEAR(E153)=YEAR(F153),MONTH(E153)=MONTH(F153)),DAY(F153)-DAY(E153)+1,IF(DAY(E153)=1,0,DAY(DATE(YEAR(E153),MONTH(E153)+1,0))-DAY(E153)+1)))</f>
        <v/>
      </c>
      <c r="P153" s="476" t="str">
        <f t="shared" ref="P153:P154" si="101">IF(ISBLANK(E153),"",IF(AND(YEAR(E153)=YEAR(F153),MONTH(E153)=MONTH(F153)),0,IF(DAY(E153)=1,1,0)))</f>
        <v/>
      </c>
      <c r="Q153" s="476" t="str">
        <f t="shared" ref="Q153:Q154" si="102">IF(OR(E153="",F153=""),"",IF(AND(YEAR(E153)=YEAR(F153),MONTH(E153)=MONTH(F153)),0,DATEDIF(E153,F153,"M")-IF(DAY(E153)&lt;=DAY(F153),1,0)))</f>
        <v/>
      </c>
      <c r="R153" s="476" t="str">
        <f t="shared" ref="R153:R154" si="103">IF(ISBLANK(F153),"",IF(AND(YEAR(E153)=YEAR(F153),MONTH(E153)=MONTH(F153)),0,IF(DAY(F153)=DAY(DATE(YEAR(F153),MONTH(F153)+1,0)),1,0)))</f>
        <v/>
      </c>
      <c r="S153" s="477" t="str">
        <f t="shared" ref="S153:S154" si="104">IF(ISBLANK(F153),"",IF(AND(YEAR(E153)=YEAR(F153),MONTH(E153)=MONTH(F153)),0,IF(DAY(F153)=DAY(DATE(YEAR(F153),MONTH(F153)+1,0)),0,DAY(F153))))</f>
        <v/>
      </c>
      <c r="T153" s="245"/>
      <c r="U153" s="245"/>
      <c r="W153" s="405"/>
    </row>
    <row r="154" spans="1:23" ht="15.95" customHeight="1" thickBot="1" x14ac:dyDescent="0.35">
      <c r="A154" s="102"/>
      <c r="B154" s="408" t="s">
        <v>975</v>
      </c>
      <c r="C154" s="75"/>
      <c r="D154" s="75"/>
      <c r="E154" s="409"/>
      <c r="F154" s="409"/>
      <c r="G154" s="435">
        <f t="shared" si="99"/>
        <v>0</v>
      </c>
      <c r="H154" s="436">
        <f t="shared" si="68"/>
        <v>0</v>
      </c>
      <c r="I154" s="437">
        <v>5.0000000000000001E-3</v>
      </c>
      <c r="J154" s="437">
        <v>1.6000000000000001E-4</v>
      </c>
      <c r="K154" s="410">
        <f>IF(L154&gt;0.06,0.06,ROUND(L154,3))</f>
        <v>0</v>
      </c>
      <c r="L154" s="607">
        <f>G154*I154+H154*J154</f>
        <v>0</v>
      </c>
      <c r="M154" s="606">
        <v>0.06</v>
      </c>
      <c r="N154" s="798"/>
      <c r="O154" s="468" t="str">
        <f t="shared" si="100"/>
        <v/>
      </c>
      <c r="P154" s="469" t="str">
        <f t="shared" si="101"/>
        <v/>
      </c>
      <c r="Q154" s="469" t="str">
        <f t="shared" si="102"/>
        <v/>
      </c>
      <c r="R154" s="469" t="str">
        <f t="shared" si="103"/>
        <v/>
      </c>
      <c r="S154" s="470" t="str">
        <f t="shared" si="104"/>
        <v/>
      </c>
      <c r="T154" s="245"/>
      <c r="U154" s="245"/>
      <c r="W154" s="405"/>
    </row>
    <row r="155" spans="1:23" ht="15.95" customHeight="1" x14ac:dyDescent="0.3">
      <c r="A155" s="102"/>
      <c r="B155" s="897" t="s">
        <v>972</v>
      </c>
      <c r="C155" s="65"/>
      <c r="D155" s="65"/>
      <c r="E155" s="400"/>
      <c r="F155" s="400"/>
      <c r="G155" s="321">
        <f t="shared" si="40"/>
        <v>0</v>
      </c>
      <c r="H155" s="322">
        <f t="shared" si="68"/>
        <v>0</v>
      </c>
      <c r="I155" s="68"/>
      <c r="J155" s="68"/>
      <c r="K155" s="792">
        <f>IF(L155&gt;1,1,ROUND(L155,3))</f>
        <v>0</v>
      </c>
      <c r="L155" s="778">
        <f>(G155*I155+H155*J155)+(G156*I156+H156*J156)</f>
        <v>0</v>
      </c>
      <c r="M155" s="799">
        <v>1</v>
      </c>
      <c r="O155" s="500" t="str">
        <f t="shared" si="39"/>
        <v/>
      </c>
      <c r="P155" s="501" t="str">
        <f t="shared" si="25"/>
        <v/>
      </c>
      <c r="Q155" s="501" t="str">
        <f t="shared" si="26"/>
        <v/>
      </c>
      <c r="R155" s="501" t="str">
        <f t="shared" si="27"/>
        <v/>
      </c>
      <c r="S155" s="502" t="str">
        <f t="shared" si="28"/>
        <v/>
      </c>
      <c r="T155" s="245"/>
      <c r="U155" s="245"/>
      <c r="W155" s="109"/>
    </row>
    <row r="156" spans="1:23" ht="15.95" customHeight="1" thickBot="1" x14ac:dyDescent="0.35">
      <c r="A156" s="102"/>
      <c r="B156" s="897"/>
      <c r="C156" s="425"/>
      <c r="D156" s="425"/>
      <c r="E156" s="399"/>
      <c r="F156" s="399"/>
      <c r="G156" s="314">
        <f t="shared" si="40"/>
        <v>0</v>
      </c>
      <c r="H156" s="315">
        <f t="shared" si="41"/>
        <v>0</v>
      </c>
      <c r="I156" s="43"/>
      <c r="J156" s="43"/>
      <c r="K156" s="792"/>
      <c r="L156" s="778"/>
      <c r="M156" s="800"/>
      <c r="O156" s="320" t="str">
        <f t="shared" si="39"/>
        <v/>
      </c>
      <c r="P156" s="228" t="str">
        <f t="shared" si="25"/>
        <v/>
      </c>
      <c r="Q156" s="228" t="str">
        <f t="shared" si="26"/>
        <v/>
      </c>
      <c r="R156" s="228" t="str">
        <f t="shared" si="27"/>
        <v/>
      </c>
      <c r="S156" s="272" t="str">
        <f t="shared" si="28"/>
        <v/>
      </c>
      <c r="T156" s="245"/>
      <c r="U156" s="245"/>
      <c r="W156" s="109"/>
    </row>
    <row r="157" spans="1:23" ht="15.95" customHeight="1" x14ac:dyDescent="0.3">
      <c r="A157" s="102"/>
      <c r="B157" s="896" t="s">
        <v>433</v>
      </c>
      <c r="C157" s="69"/>
      <c r="D157" s="69"/>
      <c r="E157" s="402"/>
      <c r="F157" s="402"/>
      <c r="G157" s="324">
        <f t="shared" si="40"/>
        <v>0</v>
      </c>
      <c r="H157" s="325">
        <f t="shared" si="41"/>
        <v>0</v>
      </c>
      <c r="I157" s="860">
        <v>2.1000000000000001E-2</v>
      </c>
      <c r="J157" s="860">
        <v>6.9999999999999999E-4</v>
      </c>
      <c r="K157" s="824">
        <f>IF(L157&gt;1.25,1.25,ROUND(L157,3))</f>
        <v>0</v>
      </c>
      <c r="L157" s="778">
        <f>SUM(G157:G160)*I157+SUM(H157:H160)*J157</f>
        <v>0</v>
      </c>
      <c r="M157" s="799">
        <v>1.25</v>
      </c>
      <c r="O157" s="327" t="str">
        <f t="shared" si="39"/>
        <v/>
      </c>
      <c r="P157" s="328" t="str">
        <f t="shared" si="25"/>
        <v/>
      </c>
      <c r="Q157" s="328" t="str">
        <f t="shared" si="26"/>
        <v/>
      </c>
      <c r="R157" s="328" t="str">
        <f t="shared" si="27"/>
        <v/>
      </c>
      <c r="S157" s="329" t="str">
        <f t="shared" si="28"/>
        <v/>
      </c>
      <c r="T157" s="245"/>
      <c r="U157" s="245"/>
      <c r="W157" s="109"/>
    </row>
    <row r="158" spans="1:23" ht="15.95" customHeight="1" x14ac:dyDescent="0.3">
      <c r="A158" s="102"/>
      <c r="B158" s="898"/>
      <c r="C158" s="429"/>
      <c r="D158" s="429"/>
      <c r="E158" s="399"/>
      <c r="F158" s="399"/>
      <c r="G158" s="314">
        <f t="shared" si="40"/>
        <v>0</v>
      </c>
      <c r="H158" s="315">
        <f t="shared" si="41"/>
        <v>0</v>
      </c>
      <c r="I158" s="861"/>
      <c r="J158" s="861"/>
      <c r="K158" s="825"/>
      <c r="L158" s="778"/>
      <c r="M158" s="800"/>
      <c r="O158" s="330" t="str">
        <f t="shared" si="39"/>
        <v/>
      </c>
      <c r="P158" s="221" t="str">
        <f t="shared" si="25"/>
        <v/>
      </c>
      <c r="Q158" s="215" t="str">
        <f t="shared" si="26"/>
        <v/>
      </c>
      <c r="R158" s="215" t="str">
        <f t="shared" si="27"/>
        <v/>
      </c>
      <c r="S158" s="331" t="str">
        <f t="shared" si="28"/>
        <v/>
      </c>
      <c r="T158" s="245"/>
      <c r="U158" s="245"/>
      <c r="W158" s="109"/>
    </row>
    <row r="159" spans="1:23" ht="15.95" customHeight="1" x14ac:dyDescent="0.3">
      <c r="A159" s="102"/>
      <c r="B159" s="898"/>
      <c r="C159" s="429"/>
      <c r="D159" s="429"/>
      <c r="E159" s="399"/>
      <c r="F159" s="399"/>
      <c r="G159" s="314">
        <f t="shared" si="40"/>
        <v>0</v>
      </c>
      <c r="H159" s="315">
        <f t="shared" si="41"/>
        <v>0</v>
      </c>
      <c r="I159" s="861"/>
      <c r="J159" s="861"/>
      <c r="K159" s="825"/>
      <c r="L159" s="778"/>
      <c r="M159" s="800"/>
      <c r="O159" s="330" t="str">
        <f t="shared" si="39"/>
        <v/>
      </c>
      <c r="P159" s="238" t="str">
        <f t="shared" si="25"/>
        <v/>
      </c>
      <c r="Q159" s="215" t="str">
        <f t="shared" si="26"/>
        <v/>
      </c>
      <c r="R159" s="215" t="str">
        <f t="shared" si="27"/>
        <v/>
      </c>
      <c r="S159" s="331" t="str">
        <f t="shared" si="28"/>
        <v/>
      </c>
      <c r="T159" s="245"/>
      <c r="U159" s="245"/>
      <c r="W159" s="109"/>
    </row>
    <row r="160" spans="1:23" ht="15.95" customHeight="1" thickBot="1" x14ac:dyDescent="0.35">
      <c r="A160" s="102"/>
      <c r="B160" s="899"/>
      <c r="C160" s="433"/>
      <c r="D160" s="433"/>
      <c r="E160" s="401"/>
      <c r="F160" s="401"/>
      <c r="G160" s="318">
        <f t="shared" si="40"/>
        <v>0</v>
      </c>
      <c r="H160" s="319">
        <f t="shared" si="41"/>
        <v>0</v>
      </c>
      <c r="I160" s="862"/>
      <c r="J160" s="862"/>
      <c r="K160" s="826"/>
      <c r="L160" s="778"/>
      <c r="M160" s="800"/>
      <c r="O160" s="320" t="str">
        <f t="shared" si="39"/>
        <v/>
      </c>
      <c r="P160" s="228" t="str">
        <f t="shared" si="25"/>
        <v/>
      </c>
      <c r="Q160" s="228" t="str">
        <f t="shared" si="26"/>
        <v/>
      </c>
      <c r="R160" s="228" t="str">
        <f t="shared" si="27"/>
        <v/>
      </c>
      <c r="S160" s="272" t="str">
        <f t="shared" si="28"/>
        <v/>
      </c>
      <c r="T160" s="245"/>
      <c r="U160" s="245"/>
      <c r="W160" s="109"/>
    </row>
    <row r="161" spans="1:88" ht="15.95" customHeight="1" x14ac:dyDescent="0.3">
      <c r="A161" s="102"/>
      <c r="B161" s="897" t="s">
        <v>973</v>
      </c>
      <c r="C161" s="65"/>
      <c r="D161" s="65"/>
      <c r="E161" s="400"/>
      <c r="F161" s="400"/>
      <c r="G161" s="324">
        <f t="shared" si="40"/>
        <v>0</v>
      </c>
      <c r="H161" s="325">
        <f t="shared" si="41"/>
        <v>0</v>
      </c>
      <c r="I161" s="777">
        <v>1.4999999999999999E-2</v>
      </c>
      <c r="J161" s="777">
        <v>5.0000000000000001E-4</v>
      </c>
      <c r="K161" s="813">
        <f>IF((L157+L161)&gt;1.25,ROUND(1.25-K157,3),ROUND(L161,3))</f>
        <v>0</v>
      </c>
      <c r="L161" s="778">
        <f>SUM(G161:G162)*I161+SUM(H161:H162)*J161</f>
        <v>0</v>
      </c>
      <c r="M161" s="800"/>
      <c r="O161" s="327" t="str">
        <f t="shared" si="39"/>
        <v/>
      </c>
      <c r="P161" s="328" t="str">
        <f t="shared" si="25"/>
        <v/>
      </c>
      <c r="Q161" s="328" t="str">
        <f t="shared" si="26"/>
        <v/>
      </c>
      <c r="R161" s="328" t="str">
        <f t="shared" si="27"/>
        <v/>
      </c>
      <c r="S161" s="329" t="str">
        <f t="shared" si="28"/>
        <v/>
      </c>
      <c r="T161" s="245"/>
      <c r="U161" s="313"/>
      <c r="W161" s="109"/>
    </row>
    <row r="162" spans="1:88" ht="15.95" customHeight="1" thickBot="1" x14ac:dyDescent="0.35">
      <c r="A162" s="102"/>
      <c r="B162" s="898"/>
      <c r="C162" s="425"/>
      <c r="D162" s="425"/>
      <c r="E162" s="399"/>
      <c r="F162" s="499"/>
      <c r="G162" s="321">
        <f t="shared" si="40"/>
        <v>0</v>
      </c>
      <c r="H162" s="322">
        <f t="shared" si="41"/>
        <v>0</v>
      </c>
      <c r="I162" s="934"/>
      <c r="J162" s="861"/>
      <c r="K162" s="883"/>
      <c r="L162" s="778"/>
      <c r="M162" s="800"/>
      <c r="O162" s="320" t="str">
        <f t="shared" si="39"/>
        <v/>
      </c>
      <c r="P162" s="228" t="str">
        <f t="shared" si="25"/>
        <v/>
      </c>
      <c r="Q162" s="228" t="str">
        <f t="shared" si="26"/>
        <v/>
      </c>
      <c r="R162" s="228" t="str">
        <f t="shared" si="27"/>
        <v/>
      </c>
      <c r="S162" s="272" t="str">
        <f t="shared" si="28"/>
        <v/>
      </c>
      <c r="T162" s="245"/>
      <c r="U162" s="245"/>
      <c r="W162" s="109"/>
    </row>
    <row r="163" spans="1:88" ht="15.95" customHeight="1" x14ac:dyDescent="0.3">
      <c r="A163" s="102"/>
      <c r="B163" s="896" t="s">
        <v>980</v>
      </c>
      <c r="C163" s="69"/>
      <c r="D163" s="69"/>
      <c r="E163" s="402"/>
      <c r="F163" s="402"/>
      <c r="G163" s="324">
        <f t="shared" si="40"/>
        <v>0</v>
      </c>
      <c r="H163" s="325">
        <f t="shared" si="41"/>
        <v>0</v>
      </c>
      <c r="I163" s="860">
        <v>5.9500000000000004E-3</v>
      </c>
      <c r="J163" s="884">
        <v>1.9799999999999999E-4</v>
      </c>
      <c r="K163" s="824">
        <f>IF(L163&gt;0.5,0.5,ROUND(L163,3))</f>
        <v>0</v>
      </c>
      <c r="L163" s="943">
        <f>IF(SUM(G163:G169)&gt;=36,(SUM(G163:G169)-36)*I163+SUM(H163:H169)*J163,0)</f>
        <v>0</v>
      </c>
      <c r="M163" s="869">
        <v>0.5</v>
      </c>
      <c r="N163" s="873" t="s">
        <v>947</v>
      </c>
      <c r="O163" s="459" t="str">
        <f t="shared" si="39"/>
        <v/>
      </c>
      <c r="P163" s="238" t="str">
        <f t="shared" si="25"/>
        <v/>
      </c>
      <c r="Q163" s="238" t="str">
        <f t="shared" si="26"/>
        <v/>
      </c>
      <c r="R163" s="238" t="str">
        <f t="shared" si="27"/>
        <v/>
      </c>
      <c r="S163" s="316" t="str">
        <f t="shared" si="28"/>
        <v/>
      </c>
      <c r="T163" s="415" t="s">
        <v>456</v>
      </c>
      <c r="U163" s="245"/>
      <c r="W163" s="109"/>
    </row>
    <row r="164" spans="1:88" ht="15.95" customHeight="1" x14ac:dyDescent="0.3">
      <c r="A164" s="102"/>
      <c r="B164" s="897"/>
      <c r="C164" s="680"/>
      <c r="D164" s="680"/>
      <c r="E164" s="399"/>
      <c r="F164" s="399"/>
      <c r="G164" s="314">
        <f t="shared" si="40"/>
        <v>0</v>
      </c>
      <c r="H164" s="315">
        <f t="shared" si="41"/>
        <v>0</v>
      </c>
      <c r="I164" s="777"/>
      <c r="J164" s="885"/>
      <c r="K164" s="792"/>
      <c r="L164" s="943"/>
      <c r="M164" s="870"/>
      <c r="N164" s="873"/>
      <c r="O164" s="330" t="str">
        <f t="shared" si="39"/>
        <v/>
      </c>
      <c r="P164" s="215" t="str">
        <f t="shared" si="25"/>
        <v/>
      </c>
      <c r="Q164" s="215" t="str">
        <f t="shared" si="26"/>
        <v/>
      </c>
      <c r="R164" s="215" t="str">
        <f t="shared" si="27"/>
        <v/>
      </c>
      <c r="S164" s="331" t="str">
        <f t="shared" si="28"/>
        <v/>
      </c>
      <c r="T164" s="267"/>
      <c r="U164" s="245"/>
      <c r="W164" s="405"/>
    </row>
    <row r="165" spans="1:88" ht="15.95" customHeight="1" x14ac:dyDescent="0.3">
      <c r="A165" s="102"/>
      <c r="B165" s="897"/>
      <c r="C165" s="680"/>
      <c r="D165" s="680"/>
      <c r="E165" s="399"/>
      <c r="F165" s="399"/>
      <c r="G165" s="314">
        <f t="shared" ref="G165" si="105">IF(Q165="",0,Q165+P165+R165+IF(SUM(O165,S165)&gt;29,1,0))</f>
        <v>0</v>
      </c>
      <c r="H165" s="315">
        <f t="shared" ref="H165" si="106">IF(OR(O165="",S165=""),0,IF(SUM(O165,S165)&gt;=30,SUM(O165,S165)-30,SUM(O165,S165)))</f>
        <v>0</v>
      </c>
      <c r="I165" s="777"/>
      <c r="J165" s="885"/>
      <c r="K165" s="792"/>
      <c r="L165" s="943"/>
      <c r="M165" s="870"/>
      <c r="N165" s="873"/>
      <c r="O165" s="330" t="str">
        <f t="shared" ref="O165" si="107">IF(ISBLANK(E165),"",IF(AND(YEAR(E165)=YEAR(F165),MONTH(E165)=MONTH(F165)),DAY(F165)-DAY(E165)+1,IF(DAY(E165)=1,0,DAY(DATE(YEAR(E165),MONTH(E165)+1,0))-DAY(E165)+1)))</f>
        <v/>
      </c>
      <c r="P165" s="215" t="str">
        <f t="shared" ref="P165" si="108">IF(ISBLANK(E165),"",IF(AND(YEAR(E165)=YEAR(F165),MONTH(E165)=MONTH(F165)),0,IF(DAY(E165)=1,1,0)))</f>
        <v/>
      </c>
      <c r="Q165" s="215" t="str">
        <f t="shared" ref="Q165" si="109">IF(OR(E165="",F165=""),"",IF(AND(YEAR(E165)=YEAR(F165),MONTH(E165)=MONTH(F165)),0,DATEDIF(E165,F165,"M")-IF(DAY(E165)&lt;=DAY(F165),1,0)))</f>
        <v/>
      </c>
      <c r="R165" s="215" t="str">
        <f t="shared" ref="R165" si="110">IF(ISBLANK(F165),"",IF(AND(YEAR(E165)=YEAR(F165),MONTH(E165)=MONTH(F165)),0,IF(DAY(F165)=DAY(DATE(YEAR(F165),MONTH(F165)+1,0)),1,0)))</f>
        <v/>
      </c>
      <c r="S165" s="331" t="str">
        <f t="shared" ref="S165" si="111">IF(ISBLANK(F165),"",IF(AND(YEAR(E165)=YEAR(F165),MONTH(E165)=MONTH(F165)),0,IF(DAY(F165)=DAY(DATE(YEAR(F165),MONTH(F165)+1,0)),0,DAY(F165))))</f>
        <v/>
      </c>
      <c r="T165" s="267"/>
      <c r="U165" s="245"/>
      <c r="W165" s="405"/>
    </row>
    <row r="166" spans="1:88" ht="15.95" customHeight="1" x14ac:dyDescent="0.3">
      <c r="A166" s="102"/>
      <c r="B166" s="897"/>
      <c r="C166" s="65"/>
      <c r="D166" s="65"/>
      <c r="E166" s="399"/>
      <c r="F166" s="399"/>
      <c r="G166" s="314">
        <f t="shared" si="40"/>
        <v>0</v>
      </c>
      <c r="H166" s="315">
        <f t="shared" si="41"/>
        <v>0</v>
      </c>
      <c r="I166" s="777"/>
      <c r="J166" s="885"/>
      <c r="K166" s="792"/>
      <c r="L166" s="943"/>
      <c r="M166" s="871"/>
      <c r="N166" s="874"/>
      <c r="O166" s="330" t="str">
        <f t="shared" si="39"/>
        <v/>
      </c>
      <c r="P166" s="215" t="str">
        <f t="shared" si="25"/>
        <v/>
      </c>
      <c r="Q166" s="215" t="str">
        <f t="shared" si="26"/>
        <v/>
      </c>
      <c r="R166" s="215" t="str">
        <f t="shared" si="27"/>
        <v/>
      </c>
      <c r="S166" s="331" t="str">
        <f t="shared" si="28"/>
        <v/>
      </c>
      <c r="T166" s="267"/>
      <c r="U166" s="245"/>
      <c r="W166" s="109"/>
    </row>
    <row r="167" spans="1:88" ht="15.95" customHeight="1" x14ac:dyDescent="0.3">
      <c r="A167" s="102"/>
      <c r="B167" s="897"/>
      <c r="C167" s="553"/>
      <c r="D167" s="553"/>
      <c r="E167" s="399"/>
      <c r="F167" s="399"/>
      <c r="G167" s="314">
        <f t="shared" si="40"/>
        <v>0</v>
      </c>
      <c r="H167" s="315">
        <f t="shared" si="41"/>
        <v>0</v>
      </c>
      <c r="I167" s="777"/>
      <c r="J167" s="885"/>
      <c r="K167" s="792"/>
      <c r="L167" s="943"/>
      <c r="M167" s="871"/>
      <c r="N167" s="874"/>
      <c r="O167" s="330" t="str">
        <f t="shared" ref="O167" si="112">IF(ISBLANK(E167),"",IF(AND(YEAR(E167)=YEAR(F167),MONTH(E167)=MONTH(F167)),DAY(F167)-DAY(E167)+1,IF(DAY(E167)=1,0,DAY(DATE(YEAR(E167),MONTH(E167)+1,0))-DAY(E167)+1)))</f>
        <v/>
      </c>
      <c r="P167" s="215" t="str">
        <f t="shared" ref="P167" si="113">IF(ISBLANK(E167),"",IF(AND(YEAR(E167)=YEAR(F167),MONTH(E167)=MONTH(F167)),0,IF(DAY(E167)=1,1,0)))</f>
        <v/>
      </c>
      <c r="Q167" s="215" t="str">
        <f t="shared" ref="Q167" si="114">IF(OR(E167="",F167=""),"",IF(AND(YEAR(E167)=YEAR(F167),MONTH(E167)=MONTH(F167)),0,DATEDIF(E167,F167,"M")-IF(DAY(E167)&lt;=DAY(F167),1,0)))</f>
        <v/>
      </c>
      <c r="R167" s="215" t="str">
        <f t="shared" ref="R167" si="115">IF(ISBLANK(F167),"",IF(AND(YEAR(E167)=YEAR(F167),MONTH(E167)=MONTH(F167)),0,IF(DAY(F167)=DAY(DATE(YEAR(F167),MONTH(F167)+1,0)),1,0)))</f>
        <v/>
      </c>
      <c r="S167" s="331" t="str">
        <f t="shared" ref="S167" si="116">IF(ISBLANK(F167),"",IF(AND(YEAR(E167)=YEAR(F167),MONTH(E167)=MONTH(F167)),0,IF(DAY(F167)=DAY(DATE(YEAR(F167),MONTH(F167)+1,0)),0,DAY(F167))))</f>
        <v/>
      </c>
      <c r="T167" s="267"/>
      <c r="U167" s="245"/>
      <c r="W167" s="405"/>
    </row>
    <row r="168" spans="1:88" ht="15.95" customHeight="1" x14ac:dyDescent="0.3">
      <c r="A168" s="102"/>
      <c r="B168" s="898"/>
      <c r="C168" s="429"/>
      <c r="D168" s="429"/>
      <c r="E168" s="399"/>
      <c r="F168" s="399"/>
      <c r="G168" s="314">
        <f t="shared" si="40"/>
        <v>0</v>
      </c>
      <c r="H168" s="315">
        <f t="shared" si="41"/>
        <v>0</v>
      </c>
      <c r="I168" s="861"/>
      <c r="J168" s="886"/>
      <c r="K168" s="825"/>
      <c r="L168" s="943"/>
      <c r="M168" s="871"/>
      <c r="N168" s="874"/>
      <c r="O168" s="330" t="str">
        <f t="shared" si="39"/>
        <v/>
      </c>
      <c r="P168" s="215" t="str">
        <f t="shared" si="25"/>
        <v/>
      </c>
      <c r="Q168" s="215" t="str">
        <f t="shared" si="26"/>
        <v/>
      </c>
      <c r="R168" s="215" t="str">
        <f t="shared" si="27"/>
        <v/>
      </c>
      <c r="S168" s="331" t="str">
        <f t="shared" si="28"/>
        <v/>
      </c>
      <c r="T168" s="245"/>
      <c r="U168" s="245"/>
      <c r="W168" s="109"/>
    </row>
    <row r="169" spans="1:88" s="293" customFormat="1" ht="15.95" customHeight="1" thickBot="1" x14ac:dyDescent="0.35">
      <c r="B169" s="899"/>
      <c r="C169" s="433"/>
      <c r="D169" s="433"/>
      <c r="E169" s="401"/>
      <c r="F169" s="401"/>
      <c r="G169" s="318">
        <f t="shared" si="40"/>
        <v>0</v>
      </c>
      <c r="H169" s="319">
        <f t="shared" si="41"/>
        <v>0</v>
      </c>
      <c r="I169" s="862"/>
      <c r="J169" s="887"/>
      <c r="K169" s="826"/>
      <c r="L169" s="943"/>
      <c r="M169" s="872"/>
      <c r="N169" s="874"/>
      <c r="O169" s="320" t="str">
        <f t="shared" si="39"/>
        <v/>
      </c>
      <c r="P169" s="228" t="str">
        <f t="shared" si="25"/>
        <v/>
      </c>
      <c r="Q169" s="228" t="str">
        <f t="shared" si="26"/>
        <v/>
      </c>
      <c r="R169" s="228" t="str">
        <f t="shared" si="27"/>
        <v/>
      </c>
      <c r="S169" s="272" t="str">
        <f t="shared" si="28"/>
        <v/>
      </c>
      <c r="T169" s="245"/>
      <c r="U169" s="245"/>
      <c r="V169" s="107"/>
      <c r="W169" s="109"/>
      <c r="X169" s="107"/>
      <c r="Y169" s="107"/>
      <c r="Z169" s="107"/>
      <c r="AA169" s="107"/>
      <c r="AB169" s="107"/>
      <c r="AC169" s="107"/>
      <c r="AD169" s="107"/>
      <c r="AE169" s="107"/>
      <c r="AF169" s="107"/>
      <c r="AG169" s="107"/>
      <c r="AH169" s="107"/>
      <c r="AI169" s="107"/>
      <c r="AJ169" s="107"/>
      <c r="AK169" s="107"/>
      <c r="AL169" s="107"/>
      <c r="AM169" s="107"/>
      <c r="AN169" s="107"/>
      <c r="AO169" s="107"/>
      <c r="AP169" s="107"/>
      <c r="AQ169" s="107"/>
      <c r="AR169" s="107"/>
      <c r="AS169" s="107"/>
      <c r="AT169" s="107"/>
      <c r="AU169" s="107"/>
      <c r="AV169" s="107"/>
      <c r="AW169" s="107"/>
      <c r="AX169" s="107"/>
      <c r="AY169" s="107"/>
      <c r="AZ169" s="107"/>
      <c r="BA169" s="107"/>
      <c r="BB169" s="107"/>
      <c r="BC169" s="107"/>
      <c r="BD169" s="107"/>
      <c r="BE169" s="107"/>
      <c r="BF169" s="107"/>
      <c r="BG169" s="107"/>
      <c r="BH169" s="107"/>
      <c r="BI169" s="107"/>
      <c r="BJ169" s="107"/>
      <c r="BK169" s="107"/>
      <c r="BL169" s="107"/>
      <c r="BM169" s="107"/>
      <c r="BN169" s="107"/>
      <c r="BO169" s="107"/>
      <c r="BP169" s="107"/>
      <c r="BQ169" s="107"/>
      <c r="BR169" s="107"/>
      <c r="BS169" s="107"/>
      <c r="BT169" s="107"/>
      <c r="BU169" s="107"/>
      <c r="BV169" s="107"/>
      <c r="BW169" s="107"/>
      <c r="BX169" s="107"/>
      <c r="BY169" s="107"/>
      <c r="BZ169" s="107"/>
      <c r="CA169" s="107"/>
      <c r="CB169" s="107"/>
      <c r="CC169" s="107"/>
      <c r="CD169" s="107"/>
      <c r="CE169" s="107"/>
      <c r="CF169" s="107"/>
      <c r="CG169" s="107"/>
      <c r="CH169" s="107"/>
      <c r="CI169" s="107"/>
      <c r="CJ169" s="107"/>
    </row>
    <row r="170" spans="1:88" s="293" customFormat="1" ht="15.95" customHeight="1" x14ac:dyDescent="0.3">
      <c r="B170" s="244"/>
      <c r="C170" s="354"/>
      <c r="D170" s="354"/>
      <c r="E170" s="144" t="s">
        <v>474</v>
      </c>
      <c r="F170" s="144" t="s">
        <v>527</v>
      </c>
      <c r="G170" s="244"/>
      <c r="H170" s="332"/>
      <c r="I170" s="244"/>
      <c r="J170" s="244"/>
      <c r="K170" s="247"/>
      <c r="L170" s="247"/>
      <c r="M170" s="296"/>
      <c r="N170" s="250"/>
      <c r="O170" s="250"/>
      <c r="P170" s="250"/>
      <c r="Q170" s="250"/>
      <c r="R170" s="250"/>
      <c r="S170" s="245"/>
      <c r="T170" s="245"/>
      <c r="U170" s="333"/>
    </row>
    <row r="171" spans="1:88" ht="15.95" customHeight="1" x14ac:dyDescent="0.3">
      <c r="B171" s="334"/>
      <c r="C171" s="262"/>
      <c r="E171" s="144" t="s">
        <v>1697</v>
      </c>
      <c r="F171" s="144" t="s">
        <v>530</v>
      </c>
      <c r="G171" s="108"/>
      <c r="R171" s="335"/>
      <c r="S171" s="293"/>
      <c r="T171" s="293"/>
    </row>
    <row r="172" spans="1:88" ht="15.95" customHeight="1" x14ac:dyDescent="0.3">
      <c r="B172" s="334"/>
      <c r="C172" s="262"/>
      <c r="F172" s="108"/>
      <c r="G172" s="108"/>
      <c r="R172" s="335"/>
      <c r="S172" s="293"/>
      <c r="T172" s="293"/>
    </row>
    <row r="173" spans="1:88" s="293" customFormat="1" ht="15.95" customHeight="1" x14ac:dyDescent="0.3">
      <c r="B173" s="244"/>
      <c r="C173" s="244"/>
      <c r="D173" s="244"/>
      <c r="F173" s="143"/>
      <c r="G173" s="244"/>
      <c r="H173" s="332"/>
      <c r="I173" s="244"/>
      <c r="J173" s="244"/>
      <c r="K173" s="247"/>
      <c r="L173" s="247"/>
      <c r="M173" s="296"/>
      <c r="N173" s="250"/>
      <c r="O173" s="250"/>
      <c r="P173" s="250"/>
      <c r="Q173" s="250"/>
      <c r="R173" s="250"/>
      <c r="S173" s="245"/>
      <c r="T173" s="245"/>
      <c r="U173" s="333"/>
    </row>
    <row r="174" spans="1:88" s="293" customFormat="1" ht="15.95" customHeight="1" x14ac:dyDescent="0.3">
      <c r="B174" s="336" t="s">
        <v>507</v>
      </c>
      <c r="C174" s="192"/>
      <c r="D174" s="192" t="s">
        <v>508</v>
      </c>
      <c r="E174" s="337"/>
      <c r="F174" s="337"/>
      <c r="G174" s="895" t="s">
        <v>499</v>
      </c>
      <c r="H174" s="895"/>
      <c r="I174" s="895"/>
      <c r="J174" s="338"/>
      <c r="K174" s="339"/>
      <c r="L174" s="340"/>
      <c r="M174" s="296"/>
      <c r="O174" s="250"/>
      <c r="P174" s="250"/>
      <c r="Q174" s="250"/>
      <c r="R174" s="250"/>
      <c r="S174" s="245"/>
      <c r="T174" s="245"/>
      <c r="U174" s="333"/>
    </row>
    <row r="175" spans="1:88" ht="15.95" customHeight="1" thickBot="1" x14ac:dyDescent="0.35">
      <c r="A175" s="102"/>
      <c r="B175" s="334"/>
      <c r="C175" s="130"/>
      <c r="D175" s="244"/>
      <c r="E175" s="293"/>
      <c r="F175" s="293"/>
      <c r="G175" s="244"/>
      <c r="H175" s="341" t="s">
        <v>498</v>
      </c>
      <c r="I175" s="244"/>
      <c r="J175" s="244"/>
      <c r="K175" s="247"/>
      <c r="L175" s="247"/>
      <c r="M175" s="296"/>
      <c r="N175" s="250"/>
      <c r="O175" s="250"/>
      <c r="P175" s="250"/>
      <c r="Q175" s="250"/>
      <c r="R175" s="250"/>
      <c r="S175" s="245"/>
      <c r="T175" s="245"/>
      <c r="U175" s="333"/>
      <c r="V175" s="293"/>
      <c r="W175" s="293"/>
      <c r="X175" s="293"/>
      <c r="Y175" s="293"/>
      <c r="Z175" s="293"/>
      <c r="AA175" s="293"/>
      <c r="AB175" s="293"/>
      <c r="AC175" s="293"/>
      <c r="AD175" s="293"/>
      <c r="AE175" s="293"/>
      <c r="AF175" s="293"/>
      <c r="AG175" s="293"/>
      <c r="AH175" s="293"/>
      <c r="AI175" s="293"/>
      <c r="AJ175" s="293"/>
      <c r="AK175" s="293"/>
      <c r="AL175" s="293"/>
      <c r="AM175" s="293"/>
      <c r="AN175" s="293"/>
      <c r="AO175" s="293"/>
      <c r="AP175" s="293"/>
      <c r="AQ175" s="293"/>
      <c r="AR175" s="293"/>
      <c r="AS175" s="293"/>
      <c r="AT175" s="293"/>
      <c r="AU175" s="293"/>
      <c r="AV175" s="293"/>
      <c r="AW175" s="293"/>
      <c r="AX175" s="293"/>
      <c r="AY175" s="293"/>
      <c r="AZ175" s="293"/>
      <c r="BA175" s="293"/>
      <c r="BB175" s="293"/>
      <c r="BC175" s="293"/>
      <c r="BD175" s="293"/>
      <c r="BE175" s="293"/>
      <c r="BF175" s="293"/>
      <c r="BG175" s="293"/>
      <c r="BH175" s="293"/>
      <c r="BI175" s="293"/>
      <c r="BJ175" s="293"/>
      <c r="BK175" s="293"/>
      <c r="BL175" s="293"/>
      <c r="BM175" s="293"/>
      <c r="BN175" s="293"/>
      <c r="BO175" s="293"/>
      <c r="BP175" s="293"/>
      <c r="BQ175" s="293"/>
      <c r="BR175" s="293"/>
      <c r="BS175" s="293"/>
      <c r="BT175" s="293"/>
      <c r="BU175" s="293"/>
      <c r="BV175" s="293"/>
      <c r="BW175" s="293"/>
      <c r="BX175" s="293"/>
      <c r="BY175" s="293"/>
      <c r="BZ175" s="293"/>
      <c r="CA175" s="293"/>
      <c r="CB175" s="293"/>
      <c r="CC175" s="293"/>
      <c r="CD175" s="293"/>
      <c r="CE175" s="293"/>
      <c r="CF175" s="293"/>
      <c r="CG175" s="293"/>
      <c r="CH175" s="293"/>
      <c r="CI175" s="293"/>
      <c r="CJ175" s="293"/>
    </row>
    <row r="176" spans="1:88" ht="15.95" customHeight="1" x14ac:dyDescent="0.3">
      <c r="A176" s="102"/>
      <c r="B176" s="805" t="s">
        <v>413</v>
      </c>
      <c r="C176" s="195" t="s">
        <v>424</v>
      </c>
      <c r="D176" s="195" t="s">
        <v>425</v>
      </c>
      <c r="E176" s="851" t="s">
        <v>47</v>
      </c>
      <c r="F176" s="851"/>
      <c r="G176" s="851" t="s">
        <v>985</v>
      </c>
      <c r="H176" s="851"/>
      <c r="I176" s="851"/>
      <c r="J176" s="197" t="s">
        <v>441</v>
      </c>
      <c r="K176" s="342" t="s">
        <v>60</v>
      </c>
      <c r="L176" s="343" t="s">
        <v>412</v>
      </c>
      <c r="N176" s="610">
        <v>15</v>
      </c>
      <c r="O176" s="611">
        <v>30</v>
      </c>
      <c r="P176" s="611">
        <v>45</v>
      </c>
      <c r="Q176" s="612" t="s">
        <v>440</v>
      </c>
    </row>
    <row r="177" spans="1:17" ht="15.95" customHeight="1" thickBot="1" x14ac:dyDescent="0.35">
      <c r="A177" s="102"/>
      <c r="B177" s="806"/>
      <c r="C177" s="286" t="s">
        <v>428</v>
      </c>
      <c r="D177" s="286" t="s">
        <v>426</v>
      </c>
      <c r="E177" s="814" t="s">
        <v>1739</v>
      </c>
      <c r="F177" s="814"/>
      <c r="G177" s="850" t="s">
        <v>983</v>
      </c>
      <c r="H177" s="850"/>
      <c r="I177" s="850"/>
      <c r="J177" s="286">
        <v>60</v>
      </c>
      <c r="K177" s="344">
        <f>IF(ISBLANK(J177),"",IF(J177&gt;60,0.08,INT(J177/15)*0.02))</f>
        <v>0.08</v>
      </c>
      <c r="L177" s="345">
        <f>SUM(K177)</f>
        <v>0.08</v>
      </c>
      <c r="M177" s="138"/>
      <c r="N177" s="320">
        <v>0.02</v>
      </c>
      <c r="O177" s="228">
        <v>0.04</v>
      </c>
      <c r="P177" s="228">
        <v>0.06</v>
      </c>
      <c r="Q177" s="272">
        <v>0.08</v>
      </c>
    </row>
    <row r="178" spans="1:17" ht="15.95" customHeight="1" x14ac:dyDescent="0.3">
      <c r="A178" s="102"/>
      <c r="B178" s="968" t="s">
        <v>986</v>
      </c>
      <c r="C178" s="504"/>
      <c r="D178" s="504"/>
      <c r="E178" s="784"/>
      <c r="F178" s="784"/>
      <c r="G178" s="831"/>
      <c r="H178" s="831"/>
      <c r="I178" s="831"/>
      <c r="J178" s="506"/>
      <c r="K178" s="788" t="str">
        <f>IF(AND(ISBLANK(J179),ISBLANK(J178)),"미이수",IF((J178+J179)&gt;=60,"이수","미이수"))</f>
        <v>미이수</v>
      </c>
      <c r="L178" s="967"/>
      <c r="N178" s="107" t="s">
        <v>984</v>
      </c>
    </row>
    <row r="179" spans="1:17" ht="15.95" customHeight="1" thickBot="1" x14ac:dyDescent="0.35">
      <c r="A179" s="102"/>
      <c r="B179" s="969"/>
      <c r="C179" s="503"/>
      <c r="D179" s="503"/>
      <c r="E179" s="849"/>
      <c r="F179" s="849"/>
      <c r="G179" s="832"/>
      <c r="H179" s="832"/>
      <c r="I179" s="832"/>
      <c r="J179" s="505"/>
      <c r="K179" s="789"/>
      <c r="L179" s="787"/>
      <c r="N179" s="540" t="s">
        <v>1729</v>
      </c>
    </row>
    <row r="180" spans="1:17" ht="15.95" customHeight="1" x14ac:dyDescent="0.3">
      <c r="A180" s="102"/>
      <c r="B180" s="949" t="s">
        <v>981</v>
      </c>
      <c r="C180" s="65"/>
      <c r="D180" s="65"/>
      <c r="E180" s="961"/>
      <c r="F180" s="961"/>
      <c r="G180" s="932"/>
      <c r="H180" s="932"/>
      <c r="I180" s="932"/>
      <c r="J180" s="512"/>
      <c r="K180" s="513" t="str">
        <f t="shared" ref="K180:K196" si="117">IF(ISBLANK(J180),"",IF(J180&gt;60,0.08,INT(J180/15)*0.02))</f>
        <v/>
      </c>
      <c r="L180" s="785">
        <f>IF(SUM(K180:K197)&gt;1,1,SUM(K180:K197))</f>
        <v>0</v>
      </c>
      <c r="N180" s="107" t="s">
        <v>1047</v>
      </c>
    </row>
    <row r="181" spans="1:17" ht="15.95" customHeight="1" x14ac:dyDescent="0.3">
      <c r="A181" s="102"/>
      <c r="B181" s="949"/>
      <c r="C181" s="385"/>
      <c r="D181" s="385"/>
      <c r="E181" s="784"/>
      <c r="F181" s="784"/>
      <c r="G181" s="831"/>
      <c r="H181" s="831"/>
      <c r="I181" s="831"/>
      <c r="J181" s="44"/>
      <c r="K181" s="39" t="str">
        <f t="shared" si="117"/>
        <v/>
      </c>
      <c r="L181" s="786"/>
      <c r="N181" s="317" t="s">
        <v>917</v>
      </c>
    </row>
    <row r="182" spans="1:17" ht="15.95" customHeight="1" x14ac:dyDescent="0.3">
      <c r="A182" s="102"/>
      <c r="B182" s="949"/>
      <c r="C182" s="41"/>
      <c r="D182" s="41"/>
      <c r="E182" s="784"/>
      <c r="F182" s="784"/>
      <c r="G182" s="831"/>
      <c r="H182" s="831"/>
      <c r="I182" s="831"/>
      <c r="J182" s="44"/>
      <c r="K182" s="39" t="str">
        <f t="shared" si="117"/>
        <v/>
      </c>
      <c r="L182" s="786"/>
      <c r="N182" s="107" t="s">
        <v>916</v>
      </c>
    </row>
    <row r="183" spans="1:17" ht="15.95" customHeight="1" x14ac:dyDescent="0.3">
      <c r="A183" s="102"/>
      <c r="B183" s="949"/>
      <c r="C183" s="41"/>
      <c r="D183" s="41"/>
      <c r="E183" s="784"/>
      <c r="F183" s="784"/>
      <c r="G183" s="831"/>
      <c r="H183" s="831"/>
      <c r="I183" s="831"/>
      <c r="J183" s="44"/>
      <c r="K183" s="39" t="str">
        <f t="shared" si="117"/>
        <v/>
      </c>
      <c r="L183" s="786"/>
    </row>
    <row r="184" spans="1:17" ht="15.95" customHeight="1" x14ac:dyDescent="0.3">
      <c r="A184" s="102"/>
      <c r="B184" s="949"/>
      <c r="C184" s="41"/>
      <c r="D184" s="41"/>
      <c r="E184" s="784"/>
      <c r="F184" s="784"/>
      <c r="G184" s="831"/>
      <c r="H184" s="831"/>
      <c r="I184" s="831"/>
      <c r="J184" s="44"/>
      <c r="K184" s="39" t="str">
        <f t="shared" si="117"/>
        <v/>
      </c>
      <c r="L184" s="786"/>
      <c r="N184" s="107" t="s">
        <v>918</v>
      </c>
    </row>
    <row r="185" spans="1:17" ht="15.95" customHeight="1" x14ac:dyDescent="0.3">
      <c r="A185" s="102"/>
      <c r="B185" s="949"/>
      <c r="C185" s="41"/>
      <c r="D185" s="41"/>
      <c r="E185" s="784"/>
      <c r="F185" s="784"/>
      <c r="G185" s="831"/>
      <c r="H185" s="831"/>
      <c r="I185" s="831"/>
      <c r="J185" s="44"/>
      <c r="K185" s="39" t="str">
        <f t="shared" si="117"/>
        <v/>
      </c>
      <c r="L185" s="786"/>
      <c r="N185" s="107" t="s">
        <v>919</v>
      </c>
    </row>
    <row r="186" spans="1:17" ht="15.95" customHeight="1" x14ac:dyDescent="0.3">
      <c r="A186" s="102"/>
      <c r="B186" s="949"/>
      <c r="C186" s="41"/>
      <c r="D186" s="41"/>
      <c r="E186" s="784"/>
      <c r="F186" s="784"/>
      <c r="G186" s="831"/>
      <c r="H186" s="831"/>
      <c r="I186" s="831"/>
      <c r="J186" s="44"/>
      <c r="K186" s="39" t="str">
        <f t="shared" ref="K186:K195" si="118">IF(ISBLANK(J186),"",IF(J186&gt;60,0.08,INT(J186/15)*0.02))</f>
        <v/>
      </c>
      <c r="L186" s="786"/>
      <c r="N186" s="107" t="s">
        <v>920</v>
      </c>
    </row>
    <row r="187" spans="1:17" ht="15.95" customHeight="1" x14ac:dyDescent="0.3">
      <c r="A187" s="102"/>
      <c r="B187" s="949"/>
      <c r="C187" s="41"/>
      <c r="D187" s="41"/>
      <c r="E187" s="784"/>
      <c r="F187" s="784"/>
      <c r="G187" s="831"/>
      <c r="H187" s="831"/>
      <c r="I187" s="831"/>
      <c r="J187" s="44"/>
      <c r="K187" s="39" t="str">
        <f t="shared" si="118"/>
        <v/>
      </c>
      <c r="L187" s="786"/>
      <c r="N187" s="107" t="s">
        <v>921</v>
      </c>
    </row>
    <row r="188" spans="1:17" ht="15.95" customHeight="1" x14ac:dyDescent="0.3">
      <c r="A188" s="102"/>
      <c r="B188" s="949"/>
      <c r="C188" s="41"/>
      <c r="D188" s="41"/>
      <c r="E188" s="784"/>
      <c r="F188" s="784"/>
      <c r="G188" s="831"/>
      <c r="H188" s="831"/>
      <c r="I188" s="831"/>
      <c r="J188" s="44"/>
      <c r="K188" s="39" t="str">
        <f t="shared" si="118"/>
        <v/>
      </c>
      <c r="L188" s="786"/>
    </row>
    <row r="189" spans="1:17" ht="15.95" customHeight="1" x14ac:dyDescent="0.3">
      <c r="A189" s="102"/>
      <c r="B189" s="949"/>
      <c r="C189" s="41"/>
      <c r="D189" s="41"/>
      <c r="E189" s="784"/>
      <c r="F189" s="784"/>
      <c r="G189" s="831"/>
      <c r="H189" s="831"/>
      <c r="I189" s="831"/>
      <c r="J189" s="44"/>
      <c r="K189" s="39" t="str">
        <f t="shared" si="118"/>
        <v/>
      </c>
      <c r="L189" s="786"/>
    </row>
    <row r="190" spans="1:17" ht="15.95" customHeight="1" x14ac:dyDescent="0.3">
      <c r="A190" s="102"/>
      <c r="B190" s="949"/>
      <c r="C190" s="41"/>
      <c r="D190" s="41"/>
      <c r="E190" s="784"/>
      <c r="F190" s="784"/>
      <c r="G190" s="831"/>
      <c r="H190" s="831"/>
      <c r="I190" s="831"/>
      <c r="J190" s="44"/>
      <c r="K190" s="39" t="str">
        <f t="shared" si="118"/>
        <v/>
      </c>
      <c r="L190" s="786"/>
    </row>
    <row r="191" spans="1:17" ht="15.95" customHeight="1" x14ac:dyDescent="0.3">
      <c r="A191" s="102"/>
      <c r="B191" s="949"/>
      <c r="C191" s="41"/>
      <c r="D191" s="41"/>
      <c r="E191" s="784"/>
      <c r="F191" s="784"/>
      <c r="G191" s="831"/>
      <c r="H191" s="831"/>
      <c r="I191" s="831"/>
      <c r="J191" s="44"/>
      <c r="K191" s="39" t="str">
        <f>IF(ISBLANK(J191),"",IF(J191&gt;60,0.08,INT(J191/15)*0.02))</f>
        <v/>
      </c>
      <c r="L191" s="786"/>
    </row>
    <row r="192" spans="1:17" ht="15.95" customHeight="1" x14ac:dyDescent="0.3">
      <c r="A192" s="102"/>
      <c r="B192" s="949"/>
      <c r="C192" s="41"/>
      <c r="D192" s="41"/>
      <c r="E192" s="784"/>
      <c r="F192" s="784"/>
      <c r="G192" s="831"/>
      <c r="H192" s="831"/>
      <c r="I192" s="831"/>
      <c r="J192" s="44"/>
      <c r="K192" s="39" t="str">
        <f>IF(ISBLANK(J192),"",IF(J192&gt;60,0.08,INT(J192/15)*0.02))</f>
        <v/>
      </c>
      <c r="L192" s="786"/>
    </row>
    <row r="193" spans="1:21" ht="15.95" customHeight="1" x14ac:dyDescent="0.3">
      <c r="A193" s="102"/>
      <c r="B193" s="949"/>
      <c r="C193" s="41"/>
      <c r="D193" s="41"/>
      <c r="E193" s="784"/>
      <c r="F193" s="784"/>
      <c r="G193" s="831"/>
      <c r="H193" s="831"/>
      <c r="I193" s="831"/>
      <c r="J193" s="44"/>
      <c r="K193" s="39" t="str">
        <f>IF(ISBLANK(J193),"",IF(J193&gt;60,0.08,INT(J193/15)*0.02))</f>
        <v/>
      </c>
      <c r="L193" s="786"/>
    </row>
    <row r="194" spans="1:21" ht="15.95" customHeight="1" x14ac:dyDescent="0.3">
      <c r="A194" s="102"/>
      <c r="B194" s="949"/>
      <c r="C194" s="41"/>
      <c r="D194" s="41"/>
      <c r="E194" s="784"/>
      <c r="F194" s="784"/>
      <c r="G194" s="831"/>
      <c r="H194" s="831"/>
      <c r="I194" s="831"/>
      <c r="J194" s="44"/>
      <c r="K194" s="39" t="str">
        <f t="shared" si="118"/>
        <v/>
      </c>
      <c r="L194" s="786"/>
    </row>
    <row r="195" spans="1:21" ht="15.95" customHeight="1" x14ac:dyDescent="0.3">
      <c r="A195" s="102"/>
      <c r="B195" s="949"/>
      <c r="C195" s="41"/>
      <c r="D195" s="41"/>
      <c r="E195" s="784"/>
      <c r="F195" s="784"/>
      <c r="G195" s="831"/>
      <c r="H195" s="831"/>
      <c r="I195" s="831"/>
      <c r="J195" s="44"/>
      <c r="K195" s="39" t="str">
        <f t="shared" si="118"/>
        <v/>
      </c>
      <c r="L195" s="786"/>
    </row>
    <row r="196" spans="1:21" ht="15.95" customHeight="1" x14ac:dyDescent="0.3">
      <c r="A196" s="102"/>
      <c r="B196" s="949"/>
      <c r="C196" s="41"/>
      <c r="D196" s="41"/>
      <c r="E196" s="784"/>
      <c r="F196" s="784"/>
      <c r="G196" s="831"/>
      <c r="H196" s="831"/>
      <c r="I196" s="831"/>
      <c r="J196" s="44"/>
      <c r="K196" s="39" t="str">
        <f t="shared" si="117"/>
        <v/>
      </c>
      <c r="L196" s="786"/>
    </row>
    <row r="197" spans="1:21" ht="15.95" customHeight="1" thickBot="1" x14ac:dyDescent="0.35">
      <c r="A197" s="102"/>
      <c r="B197" s="950"/>
      <c r="C197" s="53"/>
      <c r="D197" s="53"/>
      <c r="E197" s="849"/>
      <c r="F197" s="849"/>
      <c r="G197" s="832"/>
      <c r="H197" s="832"/>
      <c r="I197" s="832"/>
      <c r="J197" s="55"/>
      <c r="K197" s="346" t="str">
        <f>IF(ISBLANK(J197),"",IF(J197&gt;60,0.08,INT(J197/15)*0.02))</f>
        <v/>
      </c>
      <c r="L197" s="787"/>
    </row>
    <row r="198" spans="1:21" s="293" customFormat="1" ht="15.95" customHeight="1" thickBot="1" x14ac:dyDescent="0.35">
      <c r="B198" s="244"/>
      <c r="C198" s="354"/>
      <c r="D198" s="354"/>
      <c r="E198" s="362"/>
      <c r="F198" s="363"/>
      <c r="G198" s="354"/>
      <c r="H198" s="364"/>
      <c r="I198" s="354"/>
      <c r="J198" s="354"/>
      <c r="K198" s="347"/>
      <c r="L198" s="347"/>
      <c r="M198" s="296"/>
      <c r="N198" s="250"/>
      <c r="O198" s="250"/>
      <c r="P198" s="250"/>
      <c r="Q198" s="250"/>
      <c r="R198" s="250"/>
      <c r="S198" s="245"/>
      <c r="T198" s="245"/>
      <c r="U198" s="333"/>
    </row>
    <row r="199" spans="1:21" ht="15.95" customHeight="1" x14ac:dyDescent="0.3">
      <c r="A199" s="102"/>
      <c r="B199" s="805" t="s">
        <v>413</v>
      </c>
      <c r="C199" s="195" t="s">
        <v>423</v>
      </c>
      <c r="D199" s="195" t="s">
        <v>427</v>
      </c>
      <c r="E199" s="851" t="s">
        <v>930</v>
      </c>
      <c r="F199" s="851"/>
      <c r="G199" s="851"/>
      <c r="H199" s="197" t="s">
        <v>532</v>
      </c>
      <c r="I199" s="890" t="s">
        <v>442</v>
      </c>
      <c r="J199" s="890"/>
      <c r="K199" s="342" t="s">
        <v>60</v>
      </c>
      <c r="L199" s="343" t="s">
        <v>412</v>
      </c>
    </row>
    <row r="200" spans="1:21" ht="15.95" customHeight="1" x14ac:dyDescent="0.3">
      <c r="A200" s="102"/>
      <c r="B200" s="806"/>
      <c r="C200" s="285" t="s">
        <v>453</v>
      </c>
      <c r="D200" s="285" t="s">
        <v>991</v>
      </c>
      <c r="E200" s="891" t="s">
        <v>929</v>
      </c>
      <c r="F200" s="891"/>
      <c r="G200" s="891"/>
      <c r="H200" s="348">
        <v>3</v>
      </c>
      <c r="I200" s="889">
        <v>0.1</v>
      </c>
      <c r="J200" s="889"/>
      <c r="K200" s="391">
        <f>H200*I200</f>
        <v>0.30000000000000004</v>
      </c>
      <c r="L200" s="389">
        <f>SUM(K200)</f>
        <v>0.30000000000000004</v>
      </c>
      <c r="M200" s="138"/>
    </row>
    <row r="201" spans="1:21" ht="15.95" customHeight="1" x14ac:dyDescent="0.3">
      <c r="A201" s="102"/>
      <c r="B201" s="966" t="s">
        <v>504</v>
      </c>
      <c r="C201" s="41"/>
      <c r="D201" s="41"/>
      <c r="E201" s="830"/>
      <c r="F201" s="830"/>
      <c r="G201" s="830"/>
      <c r="H201" s="421"/>
      <c r="I201" s="888">
        <v>0.1</v>
      </c>
      <c r="J201" s="888"/>
      <c r="K201" s="392">
        <f>H201*I201</f>
        <v>0</v>
      </c>
      <c r="L201" s="779">
        <f>IF(SUM(K201:K205)&gt;1,1,SUM(K201:K205))</f>
        <v>0</v>
      </c>
      <c r="N201" s="866">
        <v>1</v>
      </c>
    </row>
    <row r="202" spans="1:21" ht="15.95" customHeight="1" x14ac:dyDescent="0.3">
      <c r="A202" s="102"/>
      <c r="B202" s="834"/>
      <c r="C202" s="41"/>
      <c r="D202" s="41"/>
      <c r="E202" s="829"/>
      <c r="F202" s="829"/>
      <c r="G202" s="829"/>
      <c r="H202" s="421"/>
      <c r="I202" s="888">
        <v>0.1</v>
      </c>
      <c r="J202" s="888"/>
      <c r="K202" s="392">
        <f t="shared" ref="K202:K220" si="119">H202*I202</f>
        <v>0</v>
      </c>
      <c r="L202" s="779"/>
      <c r="N202" s="867"/>
    </row>
    <row r="203" spans="1:21" ht="15.95" customHeight="1" x14ac:dyDescent="0.3">
      <c r="B203" s="834"/>
      <c r="C203" s="41"/>
      <c r="D203" s="41"/>
      <c r="E203" s="829"/>
      <c r="F203" s="829"/>
      <c r="G203" s="829"/>
      <c r="H203" s="421"/>
      <c r="I203" s="888">
        <v>0.1</v>
      </c>
      <c r="J203" s="888"/>
      <c r="K203" s="392">
        <f t="shared" si="119"/>
        <v>0</v>
      </c>
      <c r="L203" s="779"/>
      <c r="N203" s="867"/>
    </row>
    <row r="204" spans="1:21" ht="15.95" customHeight="1" x14ac:dyDescent="0.3">
      <c r="B204" s="834"/>
      <c r="C204" s="41"/>
      <c r="D204" s="41"/>
      <c r="E204" s="830"/>
      <c r="F204" s="830"/>
      <c r="G204" s="830"/>
      <c r="H204" s="421"/>
      <c r="I204" s="888">
        <v>0.1</v>
      </c>
      <c r="J204" s="888"/>
      <c r="K204" s="392">
        <f t="shared" si="119"/>
        <v>0</v>
      </c>
      <c r="L204" s="779"/>
      <c r="N204" s="867"/>
    </row>
    <row r="205" spans="1:21" ht="15.95" customHeight="1" thickBot="1" x14ac:dyDescent="0.35">
      <c r="B205" s="835"/>
      <c r="C205" s="67"/>
      <c r="D205" s="67"/>
      <c r="E205" s="858"/>
      <c r="F205" s="858"/>
      <c r="G205" s="858"/>
      <c r="H205" s="422"/>
      <c r="I205" s="963">
        <v>0.1</v>
      </c>
      <c r="J205" s="963"/>
      <c r="K205" s="393">
        <f t="shared" si="119"/>
        <v>0</v>
      </c>
      <c r="L205" s="780"/>
      <c r="N205" s="867"/>
    </row>
    <row r="206" spans="1:21" ht="15.95" customHeight="1" x14ac:dyDescent="0.3">
      <c r="B206" s="833" t="s">
        <v>908</v>
      </c>
      <c r="C206" s="69"/>
      <c r="D206" s="74"/>
      <c r="E206" s="857"/>
      <c r="F206" s="857"/>
      <c r="G206" s="857"/>
      <c r="H206" s="69"/>
      <c r="I206" s="962">
        <v>0.05</v>
      </c>
      <c r="J206" s="962"/>
      <c r="K206" s="395">
        <f>H206*I206</f>
        <v>0</v>
      </c>
      <c r="L206" s="964">
        <f>IF(SUM(K206:K209)&gt;0.2,0.2,SUM(K206:K209))</f>
        <v>0</v>
      </c>
      <c r="M206" s="108" t="s">
        <v>964</v>
      </c>
      <c r="N206" s="866">
        <v>0.8</v>
      </c>
      <c r="O206" s="765"/>
    </row>
    <row r="207" spans="1:21" ht="15.95" customHeight="1" x14ac:dyDescent="0.3">
      <c r="B207" s="834"/>
      <c r="C207" s="444"/>
      <c r="D207" s="446"/>
      <c r="E207" s="830"/>
      <c r="F207" s="830"/>
      <c r="G207" s="830"/>
      <c r="H207" s="444"/>
      <c r="I207" s="837">
        <v>3.5000000000000003E-2</v>
      </c>
      <c r="J207" s="837"/>
      <c r="K207" s="392">
        <f>H207*I207</f>
        <v>0</v>
      </c>
      <c r="L207" s="948"/>
      <c r="M207" s="539" t="s">
        <v>999</v>
      </c>
      <c r="N207" s="867"/>
      <c r="O207" s="766"/>
      <c r="P207" s="540" t="s">
        <v>1769</v>
      </c>
    </row>
    <row r="208" spans="1:21" ht="15.95" customHeight="1" x14ac:dyDescent="0.3">
      <c r="B208" s="835"/>
      <c r="C208" s="67"/>
      <c r="D208" s="422"/>
      <c r="E208" s="951"/>
      <c r="F208" s="952"/>
      <c r="G208" s="953"/>
      <c r="H208" s="67"/>
      <c r="I208" s="957">
        <v>2.5000000000000001E-2</v>
      </c>
      <c r="J208" s="958"/>
      <c r="K208" s="393">
        <f>H208*I208</f>
        <v>0</v>
      </c>
      <c r="L208" s="948"/>
      <c r="N208" s="867"/>
      <c r="O208" s="765"/>
    </row>
    <row r="209" spans="1:88" ht="15.95" customHeight="1" thickBot="1" x14ac:dyDescent="0.35">
      <c r="B209" s="836"/>
      <c r="C209" s="445"/>
      <c r="D209" s="447"/>
      <c r="E209" s="827"/>
      <c r="F209" s="827"/>
      <c r="G209" s="827"/>
      <c r="H209" s="445"/>
      <c r="I209" s="828">
        <v>1.4999999999999999E-2</v>
      </c>
      <c r="J209" s="828"/>
      <c r="K209" s="396">
        <f>H209*I209</f>
        <v>0</v>
      </c>
      <c r="L209" s="965"/>
      <c r="M209" s="449" t="s">
        <v>965</v>
      </c>
      <c r="N209" s="867"/>
      <c r="O209" s="765"/>
    </row>
    <row r="210" spans="1:88" ht="15.95" customHeight="1" x14ac:dyDescent="0.3">
      <c r="B210" s="946" t="s">
        <v>573</v>
      </c>
      <c r="C210" s="65"/>
      <c r="D210" s="388"/>
      <c r="E210" s="859"/>
      <c r="F210" s="859"/>
      <c r="G210" s="859"/>
      <c r="H210" s="65"/>
      <c r="I210" s="848">
        <v>0.1</v>
      </c>
      <c r="J210" s="848"/>
      <c r="K210" s="448">
        <f t="shared" si="119"/>
        <v>0</v>
      </c>
      <c r="L210" s="875">
        <f>IF(SUM(K210:K211)&gt;0.2,0.2,ROUND(SUM(K210:K211),3))</f>
        <v>0</v>
      </c>
      <c r="M210" s="108" t="s">
        <v>574</v>
      </c>
      <c r="N210" s="867"/>
      <c r="O210" s="768" t="s">
        <v>1770</v>
      </c>
    </row>
    <row r="211" spans="1:88" ht="15.95" customHeight="1" thickBot="1" x14ac:dyDescent="0.35">
      <c r="B211" s="836"/>
      <c r="C211" s="53"/>
      <c r="D211" s="56"/>
      <c r="E211" s="827"/>
      <c r="F211" s="827"/>
      <c r="G211" s="827"/>
      <c r="H211" s="424"/>
      <c r="I211" s="845">
        <v>8.3999999999999995E-3</v>
      </c>
      <c r="J211" s="845"/>
      <c r="K211" s="396">
        <f>H211*I211</f>
        <v>0</v>
      </c>
      <c r="L211" s="938"/>
      <c r="M211" s="108" t="s">
        <v>575</v>
      </c>
      <c r="N211" s="867"/>
      <c r="O211" s="767">
        <f>IF(SUM(L206:L219)&gt;0.5,0.5,SUM(L206:L219))</f>
        <v>0</v>
      </c>
    </row>
    <row r="212" spans="1:88" ht="15.95" customHeight="1" x14ac:dyDescent="0.3">
      <c r="B212" s="946" t="s">
        <v>429</v>
      </c>
      <c r="C212" s="65"/>
      <c r="D212" s="73"/>
      <c r="E212" s="859"/>
      <c r="F212" s="859"/>
      <c r="G212" s="859"/>
      <c r="H212" s="65"/>
      <c r="I212" s="848">
        <v>0.1</v>
      </c>
      <c r="J212" s="848"/>
      <c r="K212" s="395">
        <f t="shared" si="119"/>
        <v>0</v>
      </c>
      <c r="L212" s="875">
        <f>IF(SUM(K212:K214)&gt;0.2,0.2,ROUND(SUM(K212:K214),3))</f>
        <v>0</v>
      </c>
      <c r="M212" s="108" t="s">
        <v>944</v>
      </c>
      <c r="N212" s="867"/>
      <c r="O212" s="765"/>
      <c r="S212" s="107" t="s">
        <v>1721</v>
      </c>
    </row>
    <row r="213" spans="1:88" ht="15.95" customHeight="1" x14ac:dyDescent="0.3">
      <c r="B213" s="947"/>
      <c r="C213" s="484"/>
      <c r="D213" s="771"/>
      <c r="E213" s="951"/>
      <c r="F213" s="952"/>
      <c r="G213" s="953"/>
      <c r="H213" s="484"/>
      <c r="I213" s="959">
        <v>0.05</v>
      </c>
      <c r="J213" s="960"/>
      <c r="K213" s="448">
        <f t="shared" si="119"/>
        <v>0</v>
      </c>
      <c r="L213" s="948"/>
      <c r="M213" s="108" t="s">
        <v>574</v>
      </c>
      <c r="N213" s="867"/>
      <c r="O213" s="765"/>
    </row>
    <row r="214" spans="1:88" ht="15.95" customHeight="1" thickBot="1" x14ac:dyDescent="0.35">
      <c r="B214" s="835"/>
      <c r="C214" s="67"/>
      <c r="D214" s="72"/>
      <c r="E214" s="858"/>
      <c r="F214" s="858"/>
      <c r="G214" s="858"/>
      <c r="H214" s="67"/>
      <c r="I214" s="865"/>
      <c r="J214" s="865"/>
      <c r="K214" s="396">
        <f t="shared" si="119"/>
        <v>0</v>
      </c>
      <c r="L214" s="780"/>
      <c r="M214" s="108" t="s">
        <v>945</v>
      </c>
      <c r="N214" s="867"/>
      <c r="O214" s="765"/>
      <c r="T214" s="107" t="s">
        <v>1722</v>
      </c>
    </row>
    <row r="215" spans="1:88" ht="15.95" customHeight="1" x14ac:dyDescent="0.3">
      <c r="B215" s="833" t="s">
        <v>1005</v>
      </c>
      <c r="C215" s="69"/>
      <c r="D215" s="74"/>
      <c r="E215" s="857"/>
      <c r="F215" s="857"/>
      <c r="G215" s="857"/>
      <c r="H215" s="69"/>
      <c r="I215" s="863" t="s">
        <v>940</v>
      </c>
      <c r="J215" s="864"/>
      <c r="K215" s="426">
        <f>0.1*H215</f>
        <v>0</v>
      </c>
      <c r="L215" s="937">
        <f>IF(SUM(K215:K217)&gt;0.2,0.2,SUM(K215:K217))</f>
        <v>0</v>
      </c>
      <c r="M215" s="108"/>
      <c r="N215" s="867"/>
      <c r="O215" s="765"/>
      <c r="P215" s="215">
        <v>0.1</v>
      </c>
      <c r="T215" s="107">
        <f>IF(SUM(L206:L219)&gt;0.5,0.5,SUM(L206:L219))</f>
        <v>0</v>
      </c>
    </row>
    <row r="216" spans="1:88" ht="15.95" customHeight="1" x14ac:dyDescent="0.3">
      <c r="B216" s="834"/>
      <c r="C216" s="41"/>
      <c r="D216" s="40"/>
      <c r="E216" s="830"/>
      <c r="F216" s="830"/>
      <c r="G216" s="830"/>
      <c r="H216" s="423"/>
      <c r="I216" s="882" t="s">
        <v>941</v>
      </c>
      <c r="J216" s="882"/>
      <c r="K216" s="427">
        <f>0.05*H216</f>
        <v>0</v>
      </c>
      <c r="L216" s="779"/>
      <c r="M216" s="108"/>
      <c r="N216" s="867"/>
      <c r="O216" s="765"/>
      <c r="P216" s="221">
        <v>0.05</v>
      </c>
    </row>
    <row r="217" spans="1:88" ht="15.95" customHeight="1" thickBot="1" x14ac:dyDescent="0.35">
      <c r="B217" s="836"/>
      <c r="C217" s="53"/>
      <c r="D217" s="56"/>
      <c r="E217" s="827"/>
      <c r="F217" s="827"/>
      <c r="G217" s="827"/>
      <c r="H217" s="424"/>
      <c r="I217" s="881" t="s">
        <v>942</v>
      </c>
      <c r="J217" s="881"/>
      <c r="K217" s="428">
        <f>0.025*H217</f>
        <v>0</v>
      </c>
      <c r="L217" s="938"/>
      <c r="M217" s="108"/>
      <c r="N217" s="867"/>
      <c r="O217" s="765"/>
      <c r="P217" s="238">
        <v>2.5000000000000001E-2</v>
      </c>
    </row>
    <row r="218" spans="1:88" ht="15.95" customHeight="1" x14ac:dyDescent="0.3">
      <c r="B218" s="946" t="s">
        <v>1004</v>
      </c>
      <c r="C218" s="65"/>
      <c r="D218" s="388"/>
      <c r="E218" s="859"/>
      <c r="F218" s="859"/>
      <c r="G218" s="859"/>
      <c r="H218" s="65"/>
      <c r="I218" s="848">
        <v>0.05</v>
      </c>
      <c r="J218" s="848"/>
      <c r="K218" s="395">
        <f>H218*I218</f>
        <v>0</v>
      </c>
      <c r="L218" s="875">
        <f>IF(SUM(K218:K219)&gt;0.25,0.25,SUM(K218:K219))</f>
        <v>0</v>
      </c>
      <c r="M218" s="108" t="s">
        <v>574</v>
      </c>
      <c r="N218" s="867"/>
      <c r="O218" s="765"/>
    </row>
    <row r="219" spans="1:88" ht="15.95" customHeight="1" thickBot="1" x14ac:dyDescent="0.35">
      <c r="B219" s="834"/>
      <c r="C219" s="41"/>
      <c r="D219" s="40"/>
      <c r="E219" s="830"/>
      <c r="F219" s="830"/>
      <c r="G219" s="830"/>
      <c r="H219" s="423"/>
      <c r="I219" s="848">
        <v>0.05</v>
      </c>
      <c r="J219" s="848"/>
      <c r="K219" s="392">
        <f>H219*I219</f>
        <v>0</v>
      </c>
      <c r="L219" s="779"/>
      <c r="M219" s="108" t="s">
        <v>575</v>
      </c>
      <c r="N219" s="867"/>
      <c r="O219" s="765"/>
    </row>
    <row r="220" spans="1:88" ht="15.95" customHeight="1" thickBot="1" x14ac:dyDescent="0.35">
      <c r="B220" s="349" t="s">
        <v>430</v>
      </c>
      <c r="C220" s="75"/>
      <c r="D220" s="76"/>
      <c r="E220" s="844"/>
      <c r="F220" s="844"/>
      <c r="G220" s="844"/>
      <c r="H220" s="75"/>
      <c r="I220" s="847">
        <v>0.1</v>
      </c>
      <c r="J220" s="847"/>
      <c r="K220" s="394">
        <f t="shared" si="119"/>
        <v>0</v>
      </c>
      <c r="L220" s="390">
        <f>IF(SUM(K220)&gt;0.1,0.1,SUM(K220))</f>
        <v>0</v>
      </c>
      <c r="N220" s="867"/>
    </row>
    <row r="221" spans="1:88" ht="15.95" customHeight="1" x14ac:dyDescent="0.3">
      <c r="B221" s="833" t="s">
        <v>1003</v>
      </c>
      <c r="C221" s="69"/>
      <c r="D221" s="74"/>
      <c r="E221" s="857"/>
      <c r="F221" s="857"/>
      <c r="G221" s="857"/>
      <c r="H221" s="69"/>
      <c r="I221" s="846">
        <v>0.04</v>
      </c>
      <c r="J221" s="846"/>
      <c r="K221" s="395">
        <f>IF(H221*I221&gt;0.4,0.4,H221*I221)</f>
        <v>0</v>
      </c>
      <c r="L221" s="937">
        <f>IF(SUM(K221:K222,M222)&gt;0.074,0.074,SUM(K221:K222,M222))</f>
        <v>0</v>
      </c>
      <c r="M221" s="405" t="s">
        <v>1043</v>
      </c>
      <c r="N221" s="867"/>
      <c r="P221" s="108" t="s">
        <v>1044</v>
      </c>
    </row>
    <row r="222" spans="1:88" ht="15.95" customHeight="1" thickBot="1" x14ac:dyDescent="0.35">
      <c r="B222" s="836"/>
      <c r="C222" s="53"/>
      <c r="D222" s="56"/>
      <c r="E222" s="827"/>
      <c r="F222" s="827"/>
      <c r="G222" s="827"/>
      <c r="H222" s="541"/>
      <c r="I222" s="845">
        <v>3.4000000000000002E-2</v>
      </c>
      <c r="J222" s="845"/>
      <c r="K222" s="396">
        <f>IF(H222*I222&gt;0.034,0.034,H222*I222)</f>
        <v>0</v>
      </c>
      <c r="L222" s="938"/>
      <c r="M222" s="545"/>
      <c r="N222" s="867"/>
      <c r="P222" s="108" t="s">
        <v>1045</v>
      </c>
    </row>
    <row r="223" spans="1:88" ht="15.95" customHeight="1" thickBot="1" x14ac:dyDescent="0.35">
      <c r="B223" s="350" t="s">
        <v>431</v>
      </c>
      <c r="C223" s="77"/>
      <c r="D223" s="78"/>
      <c r="E223" s="842"/>
      <c r="F223" s="842"/>
      <c r="G223" s="842"/>
      <c r="H223" s="77"/>
      <c r="I223" s="843" t="s">
        <v>943</v>
      </c>
      <c r="J223" s="843"/>
      <c r="K223" s="397"/>
      <c r="L223" s="613">
        <f>IF(SUM(K223)&gt;0.3,0.3,SUM(K223))</f>
        <v>0</v>
      </c>
      <c r="N223" s="868"/>
      <c r="P223" s="112"/>
    </row>
    <row r="224" spans="1:88" s="306" customFormat="1" ht="15.95" customHeight="1" x14ac:dyDescent="0.3">
      <c r="A224" s="107"/>
      <c r="B224" s="36"/>
      <c r="C224" s="37"/>
      <c r="D224" s="36"/>
      <c r="E224" s="852"/>
      <c r="F224" s="852"/>
      <c r="G224" s="852"/>
      <c r="H224" s="38"/>
      <c r="I224" s="852"/>
      <c r="J224" s="852"/>
      <c r="K224" s="36"/>
      <c r="L224" s="107"/>
      <c r="M224" s="107"/>
      <c r="N224" s="163"/>
      <c r="O224" s="107"/>
      <c r="P224" s="112"/>
      <c r="Q224" s="107"/>
      <c r="R224" s="107"/>
      <c r="S224" s="107"/>
      <c r="T224" s="107"/>
      <c r="U224" s="405"/>
      <c r="V224" s="107"/>
      <c r="W224" s="107"/>
      <c r="X224" s="107"/>
      <c r="Y224" s="107"/>
      <c r="Z224" s="107"/>
      <c r="AA224" s="107"/>
      <c r="AB224" s="107"/>
      <c r="AC224" s="107"/>
      <c r="AD224" s="107"/>
      <c r="AE224" s="107"/>
      <c r="AF224" s="107"/>
      <c r="AG224" s="107"/>
      <c r="AH224" s="107"/>
      <c r="AI224" s="107"/>
      <c r="AJ224" s="107"/>
      <c r="AK224" s="107"/>
      <c r="AL224" s="107"/>
      <c r="AM224" s="107"/>
      <c r="AN224" s="107"/>
      <c r="AO224" s="107"/>
      <c r="AP224" s="107"/>
      <c r="AQ224" s="107"/>
      <c r="AR224" s="107"/>
      <c r="AS224" s="107"/>
      <c r="AT224" s="107"/>
      <c r="AU224" s="107"/>
      <c r="AV224" s="107"/>
      <c r="AW224" s="107"/>
      <c r="AX224" s="107"/>
      <c r="AY224" s="107"/>
      <c r="AZ224" s="107"/>
      <c r="BA224" s="107"/>
      <c r="BB224" s="107"/>
      <c r="BC224" s="107"/>
      <c r="BD224" s="107"/>
      <c r="BE224" s="107"/>
      <c r="BF224" s="107"/>
      <c r="BG224" s="107"/>
      <c r="BH224" s="107"/>
      <c r="BI224" s="107"/>
      <c r="BJ224" s="107"/>
      <c r="BK224" s="107"/>
      <c r="BL224" s="107"/>
      <c r="BM224" s="107"/>
      <c r="BN224" s="107"/>
      <c r="BO224" s="107"/>
      <c r="BP224" s="107"/>
      <c r="BQ224" s="107"/>
      <c r="BR224" s="107"/>
      <c r="BS224" s="107"/>
      <c r="BT224" s="107"/>
      <c r="BU224" s="107"/>
      <c r="BV224" s="107"/>
      <c r="BW224" s="107"/>
      <c r="BX224" s="107"/>
      <c r="BY224" s="107"/>
      <c r="BZ224" s="107"/>
      <c r="CA224" s="107"/>
      <c r="CB224" s="107"/>
      <c r="CC224" s="107"/>
      <c r="CD224" s="107"/>
      <c r="CE224" s="107"/>
      <c r="CF224" s="107"/>
      <c r="CG224" s="107"/>
      <c r="CH224" s="107"/>
      <c r="CI224" s="107"/>
      <c r="CJ224" s="107"/>
    </row>
    <row r="225" spans="1:88" s="133" customFormat="1" ht="15.95" customHeight="1" x14ac:dyDescent="0.3">
      <c r="A225" s="107"/>
      <c r="B225" s="351" t="s">
        <v>432</v>
      </c>
      <c r="C225" s="352" t="s">
        <v>535</v>
      </c>
      <c r="D225" s="306"/>
      <c r="E225" s="306"/>
      <c r="F225" s="306"/>
      <c r="G225" s="306"/>
      <c r="H225" s="353"/>
      <c r="I225" s="306"/>
      <c r="J225" s="306"/>
      <c r="K225" s="306"/>
      <c r="L225" s="306"/>
      <c r="M225" s="166"/>
      <c r="N225" s="646"/>
      <c r="O225" s="166"/>
      <c r="P225" s="138"/>
      <c r="Q225" s="166"/>
      <c r="R225" s="166"/>
      <c r="S225" s="166"/>
      <c r="T225" s="166"/>
      <c r="U225" s="167"/>
      <c r="V225" s="163"/>
      <c r="W225" s="163"/>
      <c r="X225" s="163"/>
      <c r="Y225" s="163"/>
      <c r="Z225" s="163"/>
      <c r="AA225" s="163"/>
      <c r="AB225" s="163"/>
      <c r="AC225" s="163"/>
      <c r="AD225" s="163"/>
      <c r="AE225" s="163"/>
      <c r="AF225" s="163"/>
      <c r="AG225" s="163"/>
      <c r="AH225" s="163"/>
      <c r="AI225" s="163"/>
      <c r="AJ225" s="163"/>
      <c r="AK225" s="163"/>
      <c r="AL225" s="163"/>
      <c r="AM225" s="163"/>
      <c r="AN225" s="163"/>
      <c r="AO225" s="163"/>
      <c r="AP225" s="163"/>
      <c r="AQ225" s="163"/>
      <c r="AR225" s="163"/>
      <c r="AS225" s="163"/>
      <c r="AT225" s="163"/>
      <c r="AU225" s="163"/>
      <c r="AV225" s="163"/>
      <c r="AW225" s="163"/>
      <c r="AX225" s="163"/>
      <c r="AY225" s="163"/>
      <c r="AZ225" s="163"/>
      <c r="BA225" s="163"/>
      <c r="BB225" s="163"/>
      <c r="BC225" s="163"/>
      <c r="BD225" s="163"/>
      <c r="BE225" s="163"/>
      <c r="BF225" s="163"/>
      <c r="BG225" s="163"/>
      <c r="BH225" s="163"/>
      <c r="BI225" s="163"/>
      <c r="BJ225" s="163"/>
      <c r="BK225" s="163"/>
      <c r="BL225" s="163"/>
      <c r="BM225" s="163"/>
      <c r="BN225" s="163"/>
      <c r="BO225" s="163"/>
      <c r="BP225" s="163"/>
      <c r="BQ225" s="163"/>
      <c r="BR225" s="163"/>
      <c r="BS225" s="163"/>
      <c r="BT225" s="163"/>
      <c r="BU225" s="163"/>
      <c r="BV225" s="163"/>
      <c r="BW225" s="163"/>
      <c r="BX225" s="163"/>
      <c r="BY225" s="163"/>
      <c r="BZ225" s="163"/>
      <c r="CA225" s="163"/>
      <c r="CB225" s="163"/>
      <c r="CC225" s="163"/>
      <c r="CD225" s="163"/>
      <c r="CE225" s="163"/>
      <c r="CF225" s="163"/>
      <c r="CG225" s="163"/>
      <c r="CH225" s="163"/>
      <c r="CI225" s="163"/>
      <c r="CJ225" s="163"/>
    </row>
    <row r="226" spans="1:88" ht="15.95" customHeight="1" x14ac:dyDescent="0.3">
      <c r="N226" s="133"/>
    </row>
    <row r="227" spans="1:88" ht="15.95" customHeight="1" x14ac:dyDescent="0.3">
      <c r="B227" s="268"/>
    </row>
    <row r="228" spans="1:88" ht="15.95" customHeight="1" x14ac:dyDescent="0.3">
      <c r="B228" s="268"/>
    </row>
    <row r="229" spans="1:88" ht="15.95" customHeight="1" x14ac:dyDescent="0.3">
      <c r="B229" s="268"/>
    </row>
    <row r="1048544" spans="16384:16384" ht="15.95" customHeight="1" x14ac:dyDescent="0.3">
      <c r="XFD1048544" s="107" t="s">
        <v>472</v>
      </c>
    </row>
  </sheetData>
  <sheetProtection selectLockedCells="1"/>
  <protectedRanges>
    <protectedRange sqref="C113:F113 E114:F153" name="범위1"/>
  </protectedRanges>
  <mergeCells count="231">
    <mergeCell ref="L215:L217"/>
    <mergeCell ref="B218:B219"/>
    <mergeCell ref="B215:B217"/>
    <mergeCell ref="E180:F180"/>
    <mergeCell ref="E179:F179"/>
    <mergeCell ref="E178:F178"/>
    <mergeCell ref="E184:F184"/>
    <mergeCell ref="E183:F183"/>
    <mergeCell ref="E182:F182"/>
    <mergeCell ref="E185:F185"/>
    <mergeCell ref="E187:F187"/>
    <mergeCell ref="E188:F188"/>
    <mergeCell ref="E194:F194"/>
    <mergeCell ref="E206:G206"/>
    <mergeCell ref="I206:J206"/>
    <mergeCell ref="I205:J205"/>
    <mergeCell ref="E218:G218"/>
    <mergeCell ref="L206:L209"/>
    <mergeCell ref="B201:B205"/>
    <mergeCell ref="G184:I184"/>
    <mergeCell ref="E195:F195"/>
    <mergeCell ref="L178:L179"/>
    <mergeCell ref="E219:G219"/>
    <mergeCell ref="B178:B179"/>
    <mergeCell ref="B221:B222"/>
    <mergeCell ref="L221:L222"/>
    <mergeCell ref="Q110:Q111"/>
    <mergeCell ref="R110:S110"/>
    <mergeCell ref="M157:M162"/>
    <mergeCell ref="L157:L160"/>
    <mergeCell ref="L163:L169"/>
    <mergeCell ref="L155:L156"/>
    <mergeCell ref="L138:L147"/>
    <mergeCell ref="M138:M147"/>
    <mergeCell ref="M155:M156"/>
    <mergeCell ref="L161:L162"/>
    <mergeCell ref="B212:B214"/>
    <mergeCell ref="B210:B211"/>
    <mergeCell ref="L212:L214"/>
    <mergeCell ref="L210:L211"/>
    <mergeCell ref="E186:F186"/>
    <mergeCell ref="B180:B197"/>
    <mergeCell ref="B199:B200"/>
    <mergeCell ref="E208:G208"/>
    <mergeCell ref="B110:B112"/>
    <mergeCell ref="I208:J208"/>
    <mergeCell ref="E213:G213"/>
    <mergeCell ref="I213:J213"/>
    <mergeCell ref="K88:K90"/>
    <mergeCell ref="K110:K111"/>
    <mergeCell ref="C110:C111"/>
    <mergeCell ref="G183:I183"/>
    <mergeCell ref="G182:I182"/>
    <mergeCell ref="G181:I181"/>
    <mergeCell ref="G180:I180"/>
    <mergeCell ref="G179:I179"/>
    <mergeCell ref="G176:I176"/>
    <mergeCell ref="G178:I178"/>
    <mergeCell ref="H102:J102"/>
    <mergeCell ref="H103:J103"/>
    <mergeCell ref="H105:J105"/>
    <mergeCell ref="J157:J160"/>
    <mergeCell ref="I161:I162"/>
    <mergeCell ref="J161:J162"/>
    <mergeCell ref="H88:J88"/>
    <mergeCell ref="H104:J104"/>
    <mergeCell ref="H110:H111"/>
    <mergeCell ref="E88:G88"/>
    <mergeCell ref="E102:G102"/>
    <mergeCell ref="E103:G103"/>
    <mergeCell ref="E105:G105"/>
    <mergeCell ref="G110:G111"/>
    <mergeCell ref="B57:B63"/>
    <mergeCell ref="G46:G50"/>
    <mergeCell ref="B38:B40"/>
    <mergeCell ref="B19:B34"/>
    <mergeCell ref="C57:C59"/>
    <mergeCell ref="D110:D111"/>
    <mergeCell ref="D88:D90"/>
    <mergeCell ref="C62:C63"/>
    <mergeCell ref="C64:C66"/>
    <mergeCell ref="C67:C68"/>
    <mergeCell ref="C60:C61"/>
    <mergeCell ref="C81:D81"/>
    <mergeCell ref="I210:J210"/>
    <mergeCell ref="E200:G200"/>
    <mergeCell ref="B1:B7"/>
    <mergeCell ref="G174:I174"/>
    <mergeCell ref="B163:B169"/>
    <mergeCell ref="B157:B160"/>
    <mergeCell ref="B161:B162"/>
    <mergeCell ref="E55:F55"/>
    <mergeCell ref="B55:C56"/>
    <mergeCell ref="B88:B90"/>
    <mergeCell ref="C88:C90"/>
    <mergeCell ref="B102:C102"/>
    <mergeCell ref="I163:I169"/>
    <mergeCell ref="E110:F110"/>
    <mergeCell ref="B155:B156"/>
    <mergeCell ref="B138:B147"/>
    <mergeCell ref="B35:B37"/>
    <mergeCell ref="B64:B70"/>
    <mergeCell ref="B13:B14"/>
    <mergeCell ref="C69:C70"/>
    <mergeCell ref="E35:E40"/>
    <mergeCell ref="E104:G104"/>
    <mergeCell ref="C22:C23"/>
    <mergeCell ref="B136:B137"/>
    <mergeCell ref="N163:N169"/>
    <mergeCell ref="L218:L219"/>
    <mergeCell ref="M88:P88"/>
    <mergeCell ref="M81:N81"/>
    <mergeCell ref="I218:J218"/>
    <mergeCell ref="I217:J217"/>
    <mergeCell ref="I216:J216"/>
    <mergeCell ref="O110:P110"/>
    <mergeCell ref="I110:J110"/>
    <mergeCell ref="K155:K156"/>
    <mergeCell ref="K138:K147"/>
    <mergeCell ref="K161:K162"/>
    <mergeCell ref="J163:J169"/>
    <mergeCell ref="I204:J204"/>
    <mergeCell ref="I203:J203"/>
    <mergeCell ref="I202:J202"/>
    <mergeCell ref="I201:J201"/>
    <mergeCell ref="I200:J200"/>
    <mergeCell ref="I199:J199"/>
    <mergeCell ref="G196:I196"/>
    <mergeCell ref="I212:J212"/>
    <mergeCell ref="I211:J211"/>
    <mergeCell ref="G186:I186"/>
    <mergeCell ref="E199:G199"/>
    <mergeCell ref="I224:J224"/>
    <mergeCell ref="E224:G224"/>
    <mergeCell ref="M85:N85"/>
    <mergeCell ref="M84:N84"/>
    <mergeCell ref="M83:N83"/>
    <mergeCell ref="M82:N82"/>
    <mergeCell ref="E217:G217"/>
    <mergeCell ref="E216:G216"/>
    <mergeCell ref="E215:G215"/>
    <mergeCell ref="E214:G214"/>
    <mergeCell ref="E212:G212"/>
    <mergeCell ref="E211:G211"/>
    <mergeCell ref="E210:G210"/>
    <mergeCell ref="I157:I160"/>
    <mergeCell ref="E205:G205"/>
    <mergeCell ref="I215:J215"/>
    <mergeCell ref="I214:J214"/>
    <mergeCell ref="M136:M137"/>
    <mergeCell ref="L136:L137"/>
    <mergeCell ref="N206:N223"/>
    <mergeCell ref="N201:N205"/>
    <mergeCell ref="M163:M169"/>
    <mergeCell ref="E222:G222"/>
    <mergeCell ref="E221:G221"/>
    <mergeCell ref="B206:B209"/>
    <mergeCell ref="E207:G207"/>
    <mergeCell ref="I207:J207"/>
    <mergeCell ref="T61:T63"/>
    <mergeCell ref="T64:T66"/>
    <mergeCell ref="E223:G223"/>
    <mergeCell ref="I223:J223"/>
    <mergeCell ref="E220:G220"/>
    <mergeCell ref="I222:J222"/>
    <mergeCell ref="I221:J221"/>
    <mergeCell ref="I220:J220"/>
    <mergeCell ref="I219:J219"/>
    <mergeCell ref="E197:F197"/>
    <mergeCell ref="E196:F196"/>
    <mergeCell ref="E189:F189"/>
    <mergeCell ref="E190:F190"/>
    <mergeCell ref="E191:F191"/>
    <mergeCell ref="E192:F192"/>
    <mergeCell ref="E193:F193"/>
    <mergeCell ref="G177:I177"/>
    <mergeCell ref="E176:F176"/>
    <mergeCell ref="G187:I187"/>
    <mergeCell ref="G193:I193"/>
    <mergeCell ref="G185:I185"/>
    <mergeCell ref="E209:G209"/>
    <mergeCell ref="I209:J209"/>
    <mergeCell ref="E203:G203"/>
    <mergeCell ref="E204:G204"/>
    <mergeCell ref="E201:G201"/>
    <mergeCell ref="E202:G202"/>
    <mergeCell ref="G188:I188"/>
    <mergeCell ref="G194:I194"/>
    <mergeCell ref="G195:I195"/>
    <mergeCell ref="G189:I189"/>
    <mergeCell ref="G190:I190"/>
    <mergeCell ref="G191:I191"/>
    <mergeCell ref="G192:I192"/>
    <mergeCell ref="G197:I197"/>
    <mergeCell ref="N113:N127"/>
    <mergeCell ref="N128:N154"/>
    <mergeCell ref="M128:M133"/>
    <mergeCell ref="L124:L126"/>
    <mergeCell ref="I124:I126"/>
    <mergeCell ref="J124:J126"/>
    <mergeCell ref="M113:M127"/>
    <mergeCell ref="M148:M153"/>
    <mergeCell ref="B176:B177"/>
    <mergeCell ref="K113:K115"/>
    <mergeCell ref="K136:K137"/>
    <mergeCell ref="K148:K153"/>
    <mergeCell ref="B148:B153"/>
    <mergeCell ref="L148:L153"/>
    <mergeCell ref="B129:B130"/>
    <mergeCell ref="K129:K130"/>
    <mergeCell ref="E177:F177"/>
    <mergeCell ref="B124:B127"/>
    <mergeCell ref="K124:K127"/>
    <mergeCell ref="L129:L130"/>
    <mergeCell ref="B131:B132"/>
    <mergeCell ref="C138:F147"/>
    <mergeCell ref="K157:K160"/>
    <mergeCell ref="K163:K169"/>
    <mergeCell ref="I113:I115"/>
    <mergeCell ref="J113:J115"/>
    <mergeCell ref="L113:L115"/>
    <mergeCell ref="L201:L205"/>
    <mergeCell ref="B113:B115"/>
    <mergeCell ref="E181:F181"/>
    <mergeCell ref="L180:L197"/>
    <mergeCell ref="B116:B123"/>
    <mergeCell ref="K178:K179"/>
    <mergeCell ref="I116:I123"/>
    <mergeCell ref="J116:J123"/>
    <mergeCell ref="K116:K123"/>
    <mergeCell ref="L116:L123"/>
  </mergeCells>
  <phoneticPr fontId="3" type="noConversion"/>
  <conditionalFormatting sqref="D29:D30 D92:D99 D104:D105 F57:F62 F154:F156 F158:F163 F166:F169">
    <cfRule type="cellIs" dxfId="19" priority="58" operator="greaterThan">
      <formula>$C$11</formula>
    </cfRule>
  </conditionalFormatting>
  <conditionalFormatting sqref="F165">
    <cfRule type="cellIs" dxfId="18" priority="2" operator="greaterThan">
      <formula>$C$11</formula>
    </cfRule>
  </conditionalFormatting>
  <conditionalFormatting sqref="F164">
    <cfRule type="cellIs" dxfId="17" priority="1" operator="greaterThan">
      <formula>$C$11</formula>
    </cfRule>
  </conditionalFormatting>
  <dataValidations count="19">
    <dataValidation type="list" allowBlank="1" showInputMessage="1" showErrorMessage="1" sqref="C15:C16" xr:uid="{00000000-0002-0000-0300-000000000000}">
      <formula1>"교장,장학관,교육연구사,교감"</formula1>
    </dataValidation>
    <dataValidation type="list" allowBlank="1" showInputMessage="1" showErrorMessage="1" sqref="B104:B105" xr:uid="{00000000-0002-0000-0300-000001000000}">
      <formula1>"선택하세요,박사,석사"</formula1>
    </dataValidation>
    <dataValidation type="list" allowBlank="1" showInputMessage="1" showErrorMessage="1" sqref="C13" xr:uid="{00000000-0002-0000-0300-000002000000}">
      <formula1>"선택하세요,교장,장학관,교육연구관,교감"</formula1>
    </dataValidation>
    <dataValidation type="list" allowBlank="1" showInputMessage="1" showErrorMessage="1" sqref="C104:C105" xr:uid="{00000000-0002-0000-0300-000003000000}">
      <formula1>"선택하세요,직무관련,기타"</formula1>
    </dataValidation>
    <dataValidation type="list" allowBlank="1" showInputMessage="1" showErrorMessage="1" sqref="C14" xr:uid="{00000000-0002-0000-0300-000004000000}">
      <formula1>"선택하세요,승진후보자,자격연수대상후보자"</formula1>
    </dataValidation>
    <dataValidation type="list" allowBlank="1" showInputMessage="1" showErrorMessage="1" sqref="D21" xr:uid="{00000000-0002-0000-0300-000005000000}">
      <formula1>"선택하세요,교사,교감,장학사,교육연구사, 장학관, 교육연구관,공모교장"</formula1>
    </dataValidation>
    <dataValidation type="custom" allowBlank="1" showInputMessage="1" showErrorMessage="1" sqref="F128:F137 F148:F153" xr:uid="{00000000-0002-0000-0300-000006000000}">
      <formula1>COUNTIF($F$128:$F$153,F128)=1</formula1>
    </dataValidation>
    <dataValidation type="custom" allowBlank="1" showInputMessage="1" showErrorMessage="1" sqref="E148:E153 E133:E135 E128:E130" xr:uid="{00000000-0002-0000-0300-000007000000}">
      <formula1>COUNTIF($E$128:$E$153,E128)=1</formula1>
    </dataValidation>
    <dataValidation type="custom" allowBlank="1" showInputMessage="1" showErrorMessage="1" sqref="D157" xr:uid="{00000000-0002-0000-0300-000008000000}">
      <formula1>COUNTIF($E$157:$E$169,E157)=1</formula1>
    </dataValidation>
    <dataValidation type="custom" allowBlank="1" showInputMessage="1" showErrorMessage="1" errorTitle="데이터 중복" error="중복된 데이터가 있습니다." sqref="E157:E169" xr:uid="{00000000-0002-0000-0300-000009000000}">
      <formula1>COUNTIF($E$157:$E$169,E157)=1</formula1>
    </dataValidation>
    <dataValidation type="custom" allowBlank="1" showInputMessage="1" showErrorMessage="1" sqref="F157:F169" xr:uid="{00000000-0002-0000-0300-00000A000000}">
      <formula1>COUNTIF($F$157:$F$169,F157)=1</formula1>
    </dataValidation>
    <dataValidation type="date" allowBlank="1" showInputMessage="1" showErrorMessage="1" errorTitle="교육기간 오류" error="직무연수 적용 기간이 아닙니다." sqref="C83:D85" xr:uid="{00000000-0002-0000-0300-00000B000000}">
      <formula1>41640</formula1>
      <formula2>45351</formula2>
    </dataValidation>
    <dataValidation type="custom" allowBlank="1" showInputMessage="1" showErrorMessage="1" sqref="F114:F127" xr:uid="{00000000-0002-0000-0300-00000C000000}">
      <formula1>COUNTIF($F$113:$F$127,F114)=1</formula1>
    </dataValidation>
    <dataValidation type="custom" allowBlank="1" showInputMessage="1" showErrorMessage="1" sqref="E113:E127" xr:uid="{00000000-0002-0000-0300-00000D000000}">
      <formula1>COUNTIF($E$113:$E$127,E113)=1</formula1>
    </dataValidation>
    <dataValidation type="custom" errorStyle="warning" allowBlank="1" showInputMessage="1" showErrorMessage="1" errorTitle="경고" error="잘못된 입력값입니다." sqref="F113" xr:uid="{00000000-0002-0000-0300-00000E000000}">
      <formula1>COUNTIF($F$113:$F$127,F113)=1</formula1>
    </dataValidation>
    <dataValidation type="date" allowBlank="1" showInputMessage="1" showErrorMessage="1" sqref="E136:E137" xr:uid="{00000000-0002-0000-0300-00000F000000}">
      <formula1>41640</formula1>
      <formula2>72686</formula2>
    </dataValidation>
    <dataValidation type="date" allowBlank="1" showInputMessage="1" showErrorMessage="1" sqref="E131" xr:uid="{00000000-0002-0000-0300-000010000000}">
      <formula1>33239</formula1>
      <formula2>42428</formula2>
    </dataValidation>
    <dataValidation type="date" allowBlank="1" showInputMessage="1" showErrorMessage="1" sqref="E132" xr:uid="{00000000-0002-0000-0300-000011000000}">
      <formula1>42430</formula1>
      <formula2>72745</formula2>
    </dataValidation>
    <dataValidation type="list" allowBlank="1" showInputMessage="1" showErrorMessage="1" sqref="D25" xr:uid="{56E7E6AE-8331-4589-86F7-F1158208D3C3}">
      <formula1>"남, 여"</formula1>
    </dataValidation>
  </dataValidations>
  <pageMargins left="0.7" right="0.7" top="0.75" bottom="0.75" header="0.3" footer="0.3"/>
  <pageSetup paperSize="9" orientation="portrait" r:id="rId1"/>
  <ignoredErrors>
    <ignoredError sqref="K210 K155 E85:F85" unlockedFormula="1"/>
    <ignoredError sqref="K91:K99" formulaRange="1"/>
    <ignoredError sqref="K221" 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1">
    <tabColor rgb="FFFFFF00"/>
    <pageSetUpPr fitToPage="1"/>
  </sheetPr>
  <dimension ref="A1:AA49"/>
  <sheetViews>
    <sheetView showGridLines="0" showZeros="0" zoomScale="73" zoomScaleNormal="73" workbookViewId="0">
      <selection activeCell="E14" sqref="E14"/>
    </sheetView>
  </sheetViews>
  <sheetFormatPr defaultColWidth="6.625" defaultRowHeight="15.95" customHeight="1" x14ac:dyDescent="0.3"/>
  <cols>
    <col min="1" max="1" width="3.625" style="107" customWidth="1"/>
    <col min="2" max="2" width="15.625" style="107" customWidth="1"/>
    <col min="3" max="3" width="36.25" style="131" customWidth="1"/>
    <col min="4" max="4" width="25.125" style="131" customWidth="1"/>
    <col min="5" max="5" width="18.625" style="107" bestFit="1" customWidth="1"/>
    <col min="6" max="6" width="13.625" style="107" customWidth="1"/>
    <col min="7" max="7" width="12.125" style="107" bestFit="1" customWidth="1"/>
    <col min="8" max="8" width="9.375" style="107" customWidth="1"/>
    <col min="9" max="9" width="8.125" style="152" customWidth="1"/>
    <col min="10" max="11" width="9.5" style="107" bestFit="1" customWidth="1"/>
    <col min="12" max="12" width="6.625" style="107" customWidth="1"/>
    <col min="13" max="13" width="8" style="107" bestFit="1" customWidth="1"/>
    <col min="14" max="14" width="7.625" style="107" bestFit="1" customWidth="1"/>
    <col min="15" max="15" width="11.125" style="107" customWidth="1"/>
    <col min="16" max="16" width="6.625" style="107"/>
    <col min="17" max="17" width="6.625" style="107" customWidth="1"/>
    <col min="18" max="18" width="6.625" style="108" customWidth="1"/>
    <col min="19" max="20" width="6.625" style="107"/>
    <col min="21" max="21" width="7.625" style="107" bestFit="1" customWidth="1"/>
    <col min="22" max="16384" width="6.625" style="107"/>
  </cols>
  <sheetData>
    <row r="1" spans="1:27" ht="68.45" customHeight="1" x14ac:dyDescent="0.3">
      <c r="B1" s="984" t="s">
        <v>1698</v>
      </c>
      <c r="C1" s="985"/>
      <c r="D1" s="985"/>
      <c r="E1" s="985"/>
      <c r="F1" s="985"/>
      <c r="G1" s="985"/>
      <c r="H1" s="985"/>
      <c r="I1" s="985"/>
      <c r="J1" s="985"/>
      <c r="K1" s="985"/>
      <c r="L1" s="985"/>
      <c r="M1" s="985"/>
    </row>
    <row r="2" spans="1:27" ht="15.95" customHeight="1" thickBot="1" x14ac:dyDescent="0.35">
      <c r="F2" s="143"/>
    </row>
    <row r="3" spans="1:27" ht="33" customHeight="1" x14ac:dyDescent="0.3">
      <c r="A3" s="102"/>
      <c r="B3" s="970" t="s">
        <v>44</v>
      </c>
      <c r="C3" s="992" t="s">
        <v>45</v>
      </c>
      <c r="D3" s="993"/>
      <c r="E3" s="973" t="s">
        <v>46</v>
      </c>
      <c r="F3" s="973" t="s">
        <v>506</v>
      </c>
      <c r="G3" s="973"/>
      <c r="H3" s="973" t="s">
        <v>374</v>
      </c>
      <c r="I3" s="975" t="s">
        <v>375</v>
      </c>
      <c r="J3" s="973" t="s">
        <v>524</v>
      </c>
      <c r="K3" s="973"/>
      <c r="L3" s="973"/>
      <c r="M3" s="982" t="s">
        <v>1680</v>
      </c>
      <c r="Q3" s="876" t="s">
        <v>437</v>
      </c>
      <c r="R3" s="877"/>
      <c r="S3" s="939" t="s">
        <v>378</v>
      </c>
      <c r="T3" s="941" t="s">
        <v>438</v>
      </c>
      <c r="U3" s="942"/>
    </row>
    <row r="4" spans="1:27" s="108" customFormat="1" ht="22.5" customHeight="1" x14ac:dyDescent="0.3">
      <c r="A4" s="146"/>
      <c r="B4" s="971"/>
      <c r="C4" s="994"/>
      <c r="D4" s="995"/>
      <c r="E4" s="974"/>
      <c r="F4" s="587" t="s">
        <v>1697</v>
      </c>
      <c r="G4" s="587" t="s">
        <v>457</v>
      </c>
      <c r="H4" s="974"/>
      <c r="I4" s="976"/>
      <c r="J4" s="652" t="s">
        <v>525</v>
      </c>
      <c r="K4" s="652" t="s">
        <v>1679</v>
      </c>
      <c r="L4" s="977" t="s">
        <v>1681</v>
      </c>
      <c r="M4" s="983"/>
      <c r="N4" s="107"/>
      <c r="O4" s="441"/>
      <c r="Q4" s="260" t="s">
        <v>439</v>
      </c>
      <c r="R4" s="208" t="s">
        <v>376</v>
      </c>
      <c r="S4" s="940"/>
      <c r="T4" s="208" t="s">
        <v>377</v>
      </c>
      <c r="U4" s="278" t="s">
        <v>439</v>
      </c>
      <c r="V4" s="107"/>
      <c r="W4" s="107"/>
      <c r="X4" s="107"/>
      <c r="Y4" s="107"/>
      <c r="Z4" s="107"/>
      <c r="AA4" s="107"/>
    </row>
    <row r="5" spans="1:27" s="108" customFormat="1" ht="29.25" customHeight="1" thickBot="1" x14ac:dyDescent="0.35">
      <c r="A5" s="146"/>
      <c r="B5" s="972"/>
      <c r="C5" s="653" t="s">
        <v>1693</v>
      </c>
      <c r="D5" s="653" t="s">
        <v>1695</v>
      </c>
      <c r="E5" s="654" t="s">
        <v>928</v>
      </c>
      <c r="F5" s="655">
        <v>41699</v>
      </c>
      <c r="G5" s="655">
        <v>43159</v>
      </c>
      <c r="H5" s="656">
        <f>IF(S5="","",S5+R5+T5+IF(SUM(Q5,U5)&gt;29,1,0))</f>
        <v>48</v>
      </c>
      <c r="I5" s="654">
        <f>IF(OR(Q5="",U5=""),"",IF(SUM(Q5,U5)&gt;=30,SUM(Q5,U5)-30,SUM(Q5,U5)))</f>
        <v>0</v>
      </c>
      <c r="J5" s="657">
        <v>2.1000000000000001E-2</v>
      </c>
      <c r="K5" s="657">
        <v>6.9999999999999999E-4</v>
      </c>
      <c r="L5" s="978"/>
      <c r="M5" s="658">
        <f>(H5*J5)+(I5*L5)</f>
        <v>1.008</v>
      </c>
      <c r="N5" s="107"/>
      <c r="O5" s="441"/>
      <c r="Q5" s="310">
        <f>IF(ISBLANK(F5),"",IF(AND(YEAR(F5)=YEAR(G5),MONTH(F5)=MONTH(G5)),DAY(G5)-DAY(F5)+1,IF(DAY(F5)=1,0,DAY(DATE(YEAR(F5),MONTH(F5)+1,0))-DAY(F5)+1)))</f>
        <v>0</v>
      </c>
      <c r="R5" s="311">
        <f>IF(ISBLANK(F5),"",IF(AND(YEAR(F5)=YEAR(G5),MONTH(F5)=MONTH(G5)),0,IF(DAY(F5)=1,1,0)))</f>
        <v>1</v>
      </c>
      <c r="S5" s="311">
        <f>IF(OR(F5="",G5=""),"",IF(AND(YEAR(F5)=YEAR(G5),MONTH(F5)=MONTH(G5)),0,DATEDIF(F5,G5,"M")-IF(DAY(F5)&lt;=DAY(G5),1,0)))</f>
        <v>46</v>
      </c>
      <c r="T5" s="311">
        <f>IF(ISBLANK(G5),"",IF(AND(YEAR(F5)=YEAR(G5),MONTH(F5)=MONTH(G5)),0,IF(DAY(G5)=DAY(DATE(YEAR(G5),MONTH(G5)+1,0)),1,0)))</f>
        <v>1</v>
      </c>
      <c r="U5" s="312">
        <f>IF(ISBLANK(G5),"",IF(AND(YEAR(F5)=YEAR(G5),MONTH(F5)=MONTH(G5)),0,IF(DAY(G5)=DAY(DATE(YEAR(G5),MONTH(G5)+1,0)),0,DAY(G5))))</f>
        <v>0</v>
      </c>
      <c r="V5" s="107"/>
      <c r="W5" s="107"/>
      <c r="X5" s="107"/>
      <c r="Y5" s="107"/>
      <c r="Z5" s="107"/>
      <c r="AA5" s="107"/>
    </row>
    <row r="6" spans="1:27" ht="31.5" customHeight="1" thickBot="1" x14ac:dyDescent="0.35">
      <c r="A6" s="102"/>
      <c r="B6" s="986" t="s">
        <v>1149</v>
      </c>
      <c r="C6" s="667" t="s">
        <v>1694</v>
      </c>
      <c r="D6" s="666"/>
      <c r="E6" s="632"/>
      <c r="F6" s="633"/>
      <c r="G6" s="633"/>
      <c r="H6" s="634">
        <f t="shared" ref="H6:H16" si="0">IF(S6="",0,S6+R6+T6+IF(SUM(Q6,U6)&gt;29,1,0))</f>
        <v>0</v>
      </c>
      <c r="I6" s="635">
        <f t="shared" ref="I6:I16" si="1">IF(OR(Q6="",U6=""),0,IF(SUM(Q6,U6)&gt;=30,SUM(Q6,U6)-30,SUM(Q6,U6)))</f>
        <v>0</v>
      </c>
      <c r="J6" s="591">
        <v>1.4999999999999999E-2</v>
      </c>
      <c r="K6" s="591">
        <v>5.0000000000000001E-4</v>
      </c>
      <c r="L6" s="591">
        <f>ROUND(H6*J6+I6*K6,3)</f>
        <v>0</v>
      </c>
      <c r="M6" s="988">
        <f>IF(N6&gt;1.25,1.25,ROUND(N6,3))</f>
        <v>0</v>
      </c>
      <c r="N6" s="944">
        <f>SUM(L6:L44)</f>
        <v>0</v>
      </c>
      <c r="O6" s="945" t="s">
        <v>1678</v>
      </c>
      <c r="P6" s="796"/>
      <c r="Q6" s="461" t="str">
        <f t="shared" ref="Q6" si="2">IF(ISBLANK(F6),"",IF(AND(YEAR(F6)=YEAR(G6),MONTH(F6)=MONTH(G6)),DAY(G6)-DAY(F6)+1,IF(DAY(F6)=1,0,DAY(DATE(YEAR(F6),MONTH(F6)+1,0))-DAY(F6)+1)))</f>
        <v/>
      </c>
      <c r="R6" s="238" t="str">
        <f t="shared" ref="R6" si="3">IF(ISBLANK(F6),"",IF(AND(YEAR(F6)=YEAR(G6),MONTH(F6)=MONTH(G6)),0,IF(DAY(F6)=1,1,0)))</f>
        <v/>
      </c>
      <c r="S6" s="238" t="str">
        <f t="shared" ref="S6" si="4">IF(OR(F6="",G6=""),"",IF(AND(YEAR(F6)=YEAR(G6),MONTH(F6)=MONTH(G6)),0,DATEDIF(F6,G6,"M")-IF(DAY(F6)&lt;=DAY(G6),1,0)))</f>
        <v/>
      </c>
      <c r="T6" s="238" t="str">
        <f t="shared" ref="T6" si="5">IF(ISBLANK(G6),"",IF(AND(YEAR(F6)=YEAR(G6),MONTH(F6)=MONTH(G6)),0,IF(DAY(G6)=DAY(DATE(YEAR(G6),MONTH(G6)+1,0)),1,0)))</f>
        <v/>
      </c>
      <c r="U6" s="316" t="str">
        <f t="shared" ref="U6" si="6">IF(ISBLANK(G6),"",IF(AND(YEAR(F6)=YEAR(G6),MONTH(F6)=MONTH(G6)),0,IF(DAY(G6)=DAY(DATE(YEAR(G6),MONTH(G6)+1,0)),0,DAY(G6))))</f>
        <v/>
      </c>
    </row>
    <row r="7" spans="1:27" ht="30.95" customHeight="1" x14ac:dyDescent="0.3">
      <c r="A7" s="102"/>
      <c r="B7" s="986"/>
      <c r="C7" s="668" t="s">
        <v>1699</v>
      </c>
      <c r="D7" s="664"/>
      <c r="E7" s="624"/>
      <c r="F7" s="625"/>
      <c r="G7" s="625"/>
      <c r="H7" s="626">
        <f t="shared" ref="H7:H9" si="7">IF(S7="",0,S7+R7+T7+IF(SUM(Q7,U7)&gt;29,1,0))</f>
        <v>0</v>
      </c>
      <c r="I7" s="627">
        <f t="shared" ref="I7:I9" si="8">IF(OR(Q7="",U7=""),0,IF(SUM(Q7,U7)&gt;=30,SUM(Q7,U7)-30,SUM(Q7,U7)))</f>
        <v>0</v>
      </c>
      <c r="J7" s="589">
        <v>1.4999999999999999E-2</v>
      </c>
      <c r="K7" s="589">
        <v>5.0000000000000001E-4</v>
      </c>
      <c r="L7" s="589">
        <f>ROUND(H7*J7+I7*K7,3)</f>
        <v>0</v>
      </c>
      <c r="M7" s="988"/>
      <c r="N7" s="944"/>
      <c r="O7" s="979"/>
      <c r="P7" s="797"/>
      <c r="Q7" s="461" t="str">
        <f t="shared" ref="Q7:Q24" si="9">IF(ISBLANK(F7),"",IF(AND(YEAR(F7)=YEAR(G7),MONTH(F7)=MONTH(G7)),DAY(G7)-DAY(F7)+1,IF(DAY(F7)=1,0,DAY(DATE(YEAR(F7),MONTH(F7)+1,0))-DAY(F7)+1)))</f>
        <v/>
      </c>
      <c r="R7" s="238" t="str">
        <f t="shared" ref="R7:R24" si="10">IF(ISBLANK(F7),"",IF(AND(YEAR(F7)=YEAR(G7),MONTH(F7)=MONTH(G7)),0,IF(DAY(F7)=1,1,0)))</f>
        <v/>
      </c>
      <c r="S7" s="238" t="str">
        <f t="shared" ref="S7:S24" si="11">IF(OR(F7="",G7=""),"",IF(AND(YEAR(F7)=YEAR(G7),MONTH(F7)=MONTH(G7)),0,DATEDIF(F7,G7,"M")-IF(DAY(F7)&lt;=DAY(G7),1,0)))</f>
        <v/>
      </c>
      <c r="T7" s="238" t="str">
        <f t="shared" ref="T7:T24" si="12">IF(ISBLANK(G7),"",IF(AND(YEAR(F7)=YEAR(G7),MONTH(F7)=MONTH(G7)),0,IF(DAY(G7)=DAY(DATE(YEAR(G7),MONTH(G7)+1,0)),1,0)))</f>
        <v/>
      </c>
      <c r="U7" s="316" t="str">
        <f t="shared" ref="U7:U24" si="13">IF(ISBLANK(G7),"",IF(AND(YEAR(F7)=YEAR(G7),MONTH(F7)=MONTH(G7)),0,IF(DAY(G7)=DAY(DATE(YEAR(G7),MONTH(G7)+1,0)),0,DAY(G7))))</f>
        <v/>
      </c>
    </row>
    <row r="8" spans="1:27" ht="30.95" customHeight="1" x14ac:dyDescent="0.3">
      <c r="A8" s="102"/>
      <c r="B8" s="986"/>
      <c r="C8" s="668" t="s">
        <v>1699</v>
      </c>
      <c r="D8" s="664"/>
      <c r="E8" s="628"/>
      <c r="F8" s="629"/>
      <c r="G8" s="629"/>
      <c r="H8" s="630">
        <f t="shared" si="7"/>
        <v>0</v>
      </c>
      <c r="I8" s="631">
        <f t="shared" si="8"/>
        <v>0</v>
      </c>
      <c r="J8" s="590">
        <v>1.4999999999999999E-2</v>
      </c>
      <c r="K8" s="590">
        <v>5.0000000000000001E-4</v>
      </c>
      <c r="L8" s="592">
        <f t="shared" ref="L8:L9" si="14">ROUND(H8*J8+I8*K8,3)</f>
        <v>0</v>
      </c>
      <c r="M8" s="988"/>
      <c r="N8" s="944"/>
      <c r="O8" s="979"/>
      <c r="P8" s="797"/>
      <c r="Q8" s="461" t="str">
        <f t="shared" si="9"/>
        <v/>
      </c>
      <c r="R8" s="238" t="str">
        <f t="shared" si="10"/>
        <v/>
      </c>
      <c r="S8" s="238" t="str">
        <f t="shared" si="11"/>
        <v/>
      </c>
      <c r="T8" s="238" t="str">
        <f t="shared" si="12"/>
        <v/>
      </c>
      <c r="U8" s="316" t="str">
        <f t="shared" si="13"/>
        <v/>
      </c>
    </row>
    <row r="9" spans="1:27" ht="30.95" customHeight="1" thickBot="1" x14ac:dyDescent="0.35">
      <c r="A9" s="102"/>
      <c r="B9" s="986"/>
      <c r="C9" s="669" t="s">
        <v>1699</v>
      </c>
      <c r="D9" s="666"/>
      <c r="E9" s="632"/>
      <c r="F9" s="633"/>
      <c r="G9" s="633"/>
      <c r="H9" s="634">
        <f t="shared" si="7"/>
        <v>0</v>
      </c>
      <c r="I9" s="635">
        <f t="shared" si="8"/>
        <v>0</v>
      </c>
      <c r="J9" s="591">
        <v>1.4999999999999999E-2</v>
      </c>
      <c r="K9" s="591">
        <v>5.0000000000000001E-4</v>
      </c>
      <c r="L9" s="588">
        <f t="shared" si="14"/>
        <v>0</v>
      </c>
      <c r="M9" s="988"/>
      <c r="N9" s="944"/>
      <c r="O9" s="979"/>
      <c r="P9" s="797"/>
      <c r="Q9" s="461" t="str">
        <f t="shared" si="9"/>
        <v/>
      </c>
      <c r="R9" s="238" t="str">
        <f t="shared" si="10"/>
        <v/>
      </c>
      <c r="S9" s="238" t="str">
        <f t="shared" si="11"/>
        <v/>
      </c>
      <c r="T9" s="238" t="str">
        <f t="shared" si="12"/>
        <v/>
      </c>
      <c r="U9" s="316" t="str">
        <f t="shared" si="13"/>
        <v/>
      </c>
    </row>
    <row r="10" spans="1:27" ht="30.95" customHeight="1" x14ac:dyDescent="0.3">
      <c r="A10" s="102"/>
      <c r="B10" s="986"/>
      <c r="C10" s="670" t="s">
        <v>1700</v>
      </c>
      <c r="D10" s="664"/>
      <c r="E10" s="628"/>
      <c r="F10" s="629"/>
      <c r="G10" s="629"/>
      <c r="H10" s="630">
        <f t="shared" si="0"/>
        <v>0</v>
      </c>
      <c r="I10" s="631">
        <f t="shared" si="1"/>
        <v>0</v>
      </c>
      <c r="J10" s="590">
        <v>1.4999999999999999E-2</v>
      </c>
      <c r="K10" s="590">
        <v>5.0000000000000001E-4</v>
      </c>
      <c r="L10" s="590">
        <f>ROUND(H10*J10+I10*K10,3)</f>
        <v>0</v>
      </c>
      <c r="M10" s="989"/>
      <c r="N10" s="944"/>
      <c r="O10" s="800"/>
      <c r="P10" s="797"/>
      <c r="Q10" s="461" t="str">
        <f t="shared" si="9"/>
        <v/>
      </c>
      <c r="R10" s="238" t="str">
        <f t="shared" si="10"/>
        <v/>
      </c>
      <c r="S10" s="238" t="str">
        <f t="shared" si="11"/>
        <v/>
      </c>
      <c r="T10" s="238" t="str">
        <f t="shared" si="12"/>
        <v/>
      </c>
      <c r="U10" s="316" t="str">
        <f t="shared" si="13"/>
        <v/>
      </c>
    </row>
    <row r="11" spans="1:27" ht="30.95" customHeight="1" x14ac:dyDescent="0.3">
      <c r="A11" s="102"/>
      <c r="B11" s="986"/>
      <c r="C11" s="670" t="s">
        <v>1700</v>
      </c>
      <c r="D11" s="664"/>
      <c r="E11" s="636"/>
      <c r="F11" s="637"/>
      <c r="G11" s="637"/>
      <c r="H11" s="630">
        <f t="shared" ref="H11" si="15">IF(S11="",0,S11+R11+T11+IF(SUM(Q11,U11)&gt;29,1,0))</f>
        <v>0</v>
      </c>
      <c r="I11" s="631">
        <f t="shared" ref="I11" si="16">IF(OR(Q11="",U11=""),0,IF(SUM(Q11,U11)&gt;=30,SUM(Q11,U11)-30,SUM(Q11,U11)))</f>
        <v>0</v>
      </c>
      <c r="J11" s="590">
        <v>1.4999999999999999E-2</v>
      </c>
      <c r="K11" s="590">
        <v>5.0000000000000001E-4</v>
      </c>
      <c r="L11" s="590">
        <f t="shared" ref="L11:L44" si="17">ROUND(H11*J11+I11*K11,3)</f>
        <v>0</v>
      </c>
      <c r="M11" s="989"/>
      <c r="N11" s="944"/>
      <c r="O11" s="800"/>
      <c r="P11" s="797"/>
      <c r="Q11" s="461" t="str">
        <f t="shared" ref="Q11" si="18">IF(ISBLANK(F11),"",IF(AND(YEAR(F11)=YEAR(G11),MONTH(F11)=MONTH(G11)),DAY(G11)-DAY(F11)+1,IF(DAY(F11)=1,0,DAY(DATE(YEAR(F11),MONTH(F11)+1,0))-DAY(F11)+1)))</f>
        <v/>
      </c>
      <c r="R11" s="238" t="str">
        <f t="shared" ref="R11" si="19">IF(ISBLANK(F11),"",IF(AND(YEAR(F11)=YEAR(G11),MONTH(F11)=MONTH(G11)),0,IF(DAY(F11)=1,1,0)))</f>
        <v/>
      </c>
      <c r="S11" s="238" t="str">
        <f t="shared" ref="S11" si="20">IF(OR(F11="",G11=""),"",IF(AND(YEAR(F11)=YEAR(G11),MONTH(F11)=MONTH(G11)),0,DATEDIF(F11,G11,"M")-IF(DAY(F11)&lt;=DAY(G11),1,0)))</f>
        <v/>
      </c>
      <c r="T11" s="238" t="str">
        <f t="shared" ref="T11" si="21">IF(ISBLANK(G11),"",IF(AND(YEAR(F11)=YEAR(G11),MONTH(F11)=MONTH(G11)),0,IF(DAY(G11)=DAY(DATE(YEAR(G11),MONTH(G11)+1,0)),1,0)))</f>
        <v/>
      </c>
      <c r="U11" s="316" t="str">
        <f t="shared" ref="U11" si="22">IF(ISBLANK(G11),"",IF(AND(YEAR(F11)=YEAR(G11),MONTH(F11)=MONTH(G11)),0,IF(DAY(G11)=DAY(DATE(YEAR(G11),MONTH(G11)+1,0)),0,DAY(G11))))</f>
        <v/>
      </c>
    </row>
    <row r="12" spans="1:27" ht="30.95" customHeight="1" thickBot="1" x14ac:dyDescent="0.35">
      <c r="A12" s="102"/>
      <c r="B12" s="986"/>
      <c r="C12" s="671" t="s">
        <v>1700</v>
      </c>
      <c r="D12" s="659"/>
      <c r="E12" s="659"/>
      <c r="F12" s="660"/>
      <c r="G12" s="660"/>
      <c r="H12" s="661">
        <f t="shared" ref="H12" si="23">IF(S12="",0,S12+R12+T12+IF(SUM(Q12,U12)&gt;29,1,0))</f>
        <v>0</v>
      </c>
      <c r="I12" s="662">
        <f t="shared" ref="I12" si="24">IF(OR(Q12="",U12=""),0,IF(SUM(Q12,U12)&gt;=30,SUM(Q12,U12)-30,SUM(Q12,U12)))</f>
        <v>0</v>
      </c>
      <c r="J12" s="663">
        <v>1.4999999999999999E-2</v>
      </c>
      <c r="K12" s="663">
        <v>5.0000000000000001E-4</v>
      </c>
      <c r="L12" s="663">
        <f t="shared" si="17"/>
        <v>0</v>
      </c>
      <c r="M12" s="990"/>
      <c r="N12" s="944"/>
      <c r="O12" s="800"/>
      <c r="P12" s="797"/>
      <c r="Q12" s="461" t="str">
        <f t="shared" ref="Q12" si="25">IF(ISBLANK(F12),"",IF(AND(YEAR(F12)=YEAR(G12),MONTH(F12)=MONTH(G12)),DAY(G12)-DAY(F12)+1,IF(DAY(F12)=1,0,DAY(DATE(YEAR(F12),MONTH(F12)+1,0))-DAY(F12)+1)))</f>
        <v/>
      </c>
      <c r="R12" s="238" t="str">
        <f t="shared" ref="R12" si="26">IF(ISBLANK(F12),"",IF(AND(YEAR(F12)=YEAR(G12),MONTH(F12)=MONTH(G12)),0,IF(DAY(F12)=1,1,0)))</f>
        <v/>
      </c>
      <c r="S12" s="238" t="str">
        <f t="shared" ref="S12" si="27">IF(OR(F12="",G12=""),"",IF(AND(YEAR(F12)=YEAR(G12),MONTH(F12)=MONTH(G12)),0,DATEDIF(F12,G12,"M")-IF(DAY(F12)&lt;=DAY(G12),1,0)))</f>
        <v/>
      </c>
      <c r="T12" s="238" t="str">
        <f t="shared" ref="T12" si="28">IF(ISBLANK(G12),"",IF(AND(YEAR(F12)=YEAR(G12),MONTH(F12)=MONTH(G12)),0,IF(DAY(G12)=DAY(DATE(YEAR(G12),MONTH(G12)+1,0)),1,0)))</f>
        <v/>
      </c>
      <c r="U12" s="316" t="str">
        <f t="shared" ref="U12" si="29">IF(ISBLANK(G12),"",IF(AND(YEAR(F12)=YEAR(G12),MONTH(F12)=MONTH(G12)),0,IF(DAY(G12)=DAY(DATE(YEAR(G12),MONTH(G12)+1,0)),0,DAY(G12))))</f>
        <v/>
      </c>
    </row>
    <row r="13" spans="1:27" ht="30.95" customHeight="1" thickTop="1" x14ac:dyDescent="0.3">
      <c r="A13" s="102"/>
      <c r="B13" s="986"/>
      <c r="C13" s="670" t="s">
        <v>1702</v>
      </c>
      <c r="D13" s="664"/>
      <c r="E13" s="640"/>
      <c r="F13" s="629"/>
      <c r="G13" s="629"/>
      <c r="H13" s="630">
        <f t="shared" si="0"/>
        <v>0</v>
      </c>
      <c r="I13" s="631">
        <f t="shared" si="1"/>
        <v>0</v>
      </c>
      <c r="J13" s="590">
        <v>1.2E-2</v>
      </c>
      <c r="K13" s="590">
        <v>4.0000000000000002E-4</v>
      </c>
      <c r="L13" s="590">
        <f t="shared" si="17"/>
        <v>0</v>
      </c>
      <c r="M13" s="990"/>
      <c r="N13" s="944"/>
      <c r="O13" s="800"/>
      <c r="P13" s="797"/>
      <c r="Q13" s="461" t="str">
        <f t="shared" si="9"/>
        <v/>
      </c>
      <c r="R13" s="238" t="str">
        <f t="shared" si="10"/>
        <v/>
      </c>
      <c r="S13" s="238" t="str">
        <f t="shared" si="11"/>
        <v/>
      </c>
      <c r="T13" s="238" t="str">
        <f t="shared" si="12"/>
        <v/>
      </c>
      <c r="U13" s="316" t="str">
        <f t="shared" si="13"/>
        <v/>
      </c>
    </row>
    <row r="14" spans="1:27" ht="30.95" customHeight="1" x14ac:dyDescent="0.3">
      <c r="A14" s="102"/>
      <c r="B14" s="986"/>
      <c r="C14" s="670" t="s">
        <v>1702</v>
      </c>
      <c r="D14" s="664"/>
      <c r="E14" s="638"/>
      <c r="F14" s="637"/>
      <c r="G14" s="637"/>
      <c r="H14" s="630">
        <f t="shared" ref="H14" si="30">IF(S14="",0,S14+R14+T14+IF(SUM(Q14,U14)&gt;29,1,0))</f>
        <v>0</v>
      </c>
      <c r="I14" s="631">
        <f t="shared" ref="I14" si="31">IF(OR(Q14="",U14=""),0,IF(SUM(Q14,U14)&gt;=30,SUM(Q14,U14)-30,SUM(Q14,U14)))</f>
        <v>0</v>
      </c>
      <c r="J14" s="590">
        <v>1.2E-2</v>
      </c>
      <c r="K14" s="590">
        <v>4.0000000000000002E-4</v>
      </c>
      <c r="L14" s="590">
        <f t="shared" si="17"/>
        <v>0</v>
      </c>
      <c r="M14" s="990"/>
      <c r="N14" s="944"/>
      <c r="O14" s="800"/>
      <c r="P14" s="797"/>
      <c r="Q14" s="461" t="str">
        <f t="shared" ref="Q14" si="32">IF(ISBLANK(F14),"",IF(AND(YEAR(F14)=YEAR(G14),MONTH(F14)=MONTH(G14)),DAY(G14)-DAY(F14)+1,IF(DAY(F14)=1,0,DAY(DATE(YEAR(F14),MONTH(F14)+1,0))-DAY(F14)+1)))</f>
        <v/>
      </c>
      <c r="R14" s="238" t="str">
        <f t="shared" ref="R14" si="33">IF(ISBLANK(F14),"",IF(AND(YEAR(F14)=YEAR(G14),MONTH(F14)=MONTH(G14)),0,IF(DAY(F14)=1,1,0)))</f>
        <v/>
      </c>
      <c r="S14" s="238" t="str">
        <f t="shared" ref="S14" si="34">IF(OR(F14="",G14=""),"",IF(AND(YEAR(F14)=YEAR(G14),MONTH(F14)=MONTH(G14)),0,DATEDIF(F14,G14,"M")-IF(DAY(F14)&lt;=DAY(G14),1,0)))</f>
        <v/>
      </c>
      <c r="T14" s="238" t="str">
        <f t="shared" ref="T14" si="35">IF(ISBLANK(G14),"",IF(AND(YEAR(F14)=YEAR(G14),MONTH(F14)=MONTH(G14)),0,IF(DAY(G14)=DAY(DATE(YEAR(G14),MONTH(G14)+1,0)),1,0)))</f>
        <v/>
      </c>
      <c r="U14" s="316" t="str">
        <f t="shared" ref="U14" si="36">IF(ISBLANK(G14),"",IF(AND(YEAR(F14)=YEAR(G14),MONTH(F14)=MONTH(G14)),0,IF(DAY(G14)=DAY(DATE(YEAR(G14),MONTH(G14)+1,0)),0,DAY(G14))))</f>
        <v/>
      </c>
    </row>
    <row r="15" spans="1:27" ht="30.95" customHeight="1" thickBot="1" x14ac:dyDescent="0.35">
      <c r="A15" s="102"/>
      <c r="B15" s="986"/>
      <c r="C15" s="672" t="s">
        <v>1702</v>
      </c>
      <c r="D15" s="639"/>
      <c r="E15" s="639"/>
      <c r="F15" s="621"/>
      <c r="G15" s="621"/>
      <c r="H15" s="622">
        <f t="shared" si="0"/>
        <v>0</v>
      </c>
      <c r="I15" s="623">
        <f t="shared" si="1"/>
        <v>0</v>
      </c>
      <c r="J15" s="588">
        <v>1.2E-2</v>
      </c>
      <c r="K15" s="588">
        <v>4.0000000000000002E-4</v>
      </c>
      <c r="L15" s="588">
        <f t="shared" si="17"/>
        <v>0</v>
      </c>
      <c r="M15" s="990"/>
      <c r="N15" s="944"/>
      <c r="O15" s="800"/>
      <c r="P15" s="797"/>
      <c r="Q15" s="461" t="str">
        <f t="shared" si="9"/>
        <v/>
      </c>
      <c r="R15" s="238" t="str">
        <f t="shared" si="10"/>
        <v/>
      </c>
      <c r="S15" s="238" t="str">
        <f t="shared" si="11"/>
        <v/>
      </c>
      <c r="T15" s="238" t="str">
        <f t="shared" si="12"/>
        <v/>
      </c>
      <c r="U15" s="316" t="str">
        <f t="shared" si="13"/>
        <v/>
      </c>
    </row>
    <row r="16" spans="1:27" ht="30.95" customHeight="1" x14ac:dyDescent="0.3">
      <c r="A16" s="102"/>
      <c r="B16" s="986"/>
      <c r="C16" s="673" t="s">
        <v>1701</v>
      </c>
      <c r="D16" s="640"/>
      <c r="E16" s="640"/>
      <c r="F16" s="629"/>
      <c r="G16" s="629"/>
      <c r="H16" s="630">
        <f t="shared" si="0"/>
        <v>0</v>
      </c>
      <c r="I16" s="631">
        <f t="shared" si="1"/>
        <v>0</v>
      </c>
      <c r="J16" s="590">
        <v>1.7999999999999999E-2</v>
      </c>
      <c r="K16" s="590">
        <v>5.9999999999999995E-4</v>
      </c>
      <c r="L16" s="590">
        <f t="shared" si="17"/>
        <v>0</v>
      </c>
      <c r="M16" s="990"/>
      <c r="N16" s="944"/>
      <c r="O16" s="800"/>
      <c r="P16" s="797"/>
      <c r="Q16" s="461" t="str">
        <f t="shared" si="9"/>
        <v/>
      </c>
      <c r="R16" s="238" t="str">
        <f t="shared" si="10"/>
        <v/>
      </c>
      <c r="S16" s="238" t="str">
        <f t="shared" si="11"/>
        <v/>
      </c>
      <c r="T16" s="238" t="str">
        <f t="shared" si="12"/>
        <v/>
      </c>
      <c r="U16" s="316" t="str">
        <f t="shared" si="13"/>
        <v/>
      </c>
    </row>
    <row r="17" spans="1:21" ht="30.95" customHeight="1" thickBot="1" x14ac:dyDescent="0.35">
      <c r="A17" s="102"/>
      <c r="B17" s="986"/>
      <c r="C17" s="671" t="s">
        <v>1703</v>
      </c>
      <c r="D17" s="659"/>
      <c r="E17" s="659"/>
      <c r="F17" s="660"/>
      <c r="G17" s="660"/>
      <c r="H17" s="661">
        <f t="shared" ref="H17:H24" si="37">IF(S17="",0,S17+R17+T17+IF(SUM(Q17,U17)&gt;29,1,0))</f>
        <v>0</v>
      </c>
      <c r="I17" s="662">
        <f t="shared" ref="I17:I24" si="38">IF(OR(Q17="",U17=""),0,IF(SUM(Q17,U17)&gt;=30,SUM(Q17,U17)-30,SUM(Q17,U17)))</f>
        <v>0</v>
      </c>
      <c r="J17" s="663">
        <v>1.7999999999999999E-2</v>
      </c>
      <c r="K17" s="663">
        <v>5.9999999999999995E-4</v>
      </c>
      <c r="L17" s="663">
        <f t="shared" si="17"/>
        <v>0</v>
      </c>
      <c r="M17" s="990"/>
      <c r="N17" s="944"/>
      <c r="O17" s="800"/>
      <c r="P17" s="797"/>
      <c r="Q17" s="461" t="str">
        <f t="shared" si="9"/>
        <v/>
      </c>
      <c r="R17" s="238" t="str">
        <f t="shared" si="10"/>
        <v/>
      </c>
      <c r="S17" s="238" t="str">
        <f t="shared" si="11"/>
        <v/>
      </c>
      <c r="T17" s="238" t="str">
        <f t="shared" si="12"/>
        <v/>
      </c>
      <c r="U17" s="316" t="str">
        <f t="shared" si="13"/>
        <v/>
      </c>
    </row>
    <row r="18" spans="1:21" ht="30.95" customHeight="1" thickTop="1" x14ac:dyDescent="0.3">
      <c r="A18" s="102"/>
      <c r="B18" s="986"/>
      <c r="C18" s="673" t="s">
        <v>1704</v>
      </c>
      <c r="D18" s="640"/>
      <c r="E18" s="640"/>
      <c r="F18" s="629"/>
      <c r="G18" s="629"/>
      <c r="H18" s="630">
        <f t="shared" si="37"/>
        <v>0</v>
      </c>
      <c r="I18" s="631">
        <f t="shared" si="38"/>
        <v>0</v>
      </c>
      <c r="J18" s="590">
        <v>1.4999999999999999E-2</v>
      </c>
      <c r="K18" s="590">
        <v>5.0000000000000001E-4</v>
      </c>
      <c r="L18" s="590">
        <f t="shared" si="17"/>
        <v>0</v>
      </c>
      <c r="M18" s="990"/>
      <c r="N18" s="944"/>
      <c r="O18" s="800"/>
      <c r="P18" s="797"/>
      <c r="Q18" s="461" t="str">
        <f t="shared" si="9"/>
        <v/>
      </c>
      <c r="R18" s="238" t="str">
        <f t="shared" si="10"/>
        <v/>
      </c>
      <c r="S18" s="238" t="str">
        <f t="shared" si="11"/>
        <v/>
      </c>
      <c r="T18" s="238" t="str">
        <f t="shared" si="12"/>
        <v/>
      </c>
      <c r="U18" s="316" t="str">
        <f t="shared" si="13"/>
        <v/>
      </c>
    </row>
    <row r="19" spans="1:21" ht="30.95" customHeight="1" thickBot="1" x14ac:dyDescent="0.35">
      <c r="A19" s="102"/>
      <c r="B19" s="986"/>
      <c r="C19" s="671" t="s">
        <v>1704</v>
      </c>
      <c r="D19" s="659"/>
      <c r="E19" s="659"/>
      <c r="F19" s="660"/>
      <c r="G19" s="660"/>
      <c r="H19" s="661">
        <f t="shared" si="37"/>
        <v>0</v>
      </c>
      <c r="I19" s="662">
        <f t="shared" si="38"/>
        <v>0</v>
      </c>
      <c r="J19" s="663">
        <v>1.4999999999999999E-2</v>
      </c>
      <c r="K19" s="663">
        <v>5.0000000000000001E-4</v>
      </c>
      <c r="L19" s="663">
        <f t="shared" si="17"/>
        <v>0</v>
      </c>
      <c r="M19" s="990"/>
      <c r="N19" s="944"/>
      <c r="O19" s="800"/>
      <c r="P19" s="797"/>
      <c r="Q19" s="461" t="str">
        <f t="shared" si="9"/>
        <v/>
      </c>
      <c r="R19" s="238" t="str">
        <f t="shared" si="10"/>
        <v/>
      </c>
      <c r="S19" s="238" t="str">
        <f t="shared" si="11"/>
        <v/>
      </c>
      <c r="T19" s="238" t="str">
        <f t="shared" si="12"/>
        <v/>
      </c>
      <c r="U19" s="316" t="str">
        <f t="shared" si="13"/>
        <v/>
      </c>
    </row>
    <row r="20" spans="1:21" ht="30.95" customHeight="1" thickTop="1" x14ac:dyDescent="0.3">
      <c r="A20" s="102"/>
      <c r="B20" s="986"/>
      <c r="C20" s="673" t="s">
        <v>1705</v>
      </c>
      <c r="D20" s="640"/>
      <c r="E20" s="640"/>
      <c r="F20" s="629"/>
      <c r="G20" s="629"/>
      <c r="H20" s="630">
        <f t="shared" si="37"/>
        <v>0</v>
      </c>
      <c r="I20" s="631">
        <f t="shared" si="38"/>
        <v>0</v>
      </c>
      <c r="J20" s="590">
        <v>1.2E-2</v>
      </c>
      <c r="K20" s="590">
        <v>4.0000000000000002E-4</v>
      </c>
      <c r="L20" s="590">
        <f t="shared" si="17"/>
        <v>0</v>
      </c>
      <c r="M20" s="990"/>
      <c r="N20" s="944"/>
      <c r="O20" s="800"/>
      <c r="P20" s="797"/>
      <c r="Q20" s="461" t="str">
        <f t="shared" si="9"/>
        <v/>
      </c>
      <c r="R20" s="238" t="str">
        <f t="shared" si="10"/>
        <v/>
      </c>
      <c r="S20" s="238" t="str">
        <f t="shared" si="11"/>
        <v/>
      </c>
      <c r="T20" s="238" t="str">
        <f t="shared" si="12"/>
        <v/>
      </c>
      <c r="U20" s="316" t="str">
        <f t="shared" si="13"/>
        <v/>
      </c>
    </row>
    <row r="21" spans="1:21" ht="30.95" customHeight="1" thickBot="1" x14ac:dyDescent="0.35">
      <c r="A21" s="102"/>
      <c r="B21" s="986"/>
      <c r="C21" s="672" t="s">
        <v>1705</v>
      </c>
      <c r="D21" s="639"/>
      <c r="E21" s="639"/>
      <c r="F21" s="621"/>
      <c r="G21" s="621"/>
      <c r="H21" s="622">
        <f t="shared" si="37"/>
        <v>0</v>
      </c>
      <c r="I21" s="623">
        <f t="shared" si="38"/>
        <v>0</v>
      </c>
      <c r="J21" s="588">
        <v>1.2E-2</v>
      </c>
      <c r="K21" s="588">
        <v>4.0000000000000002E-4</v>
      </c>
      <c r="L21" s="588">
        <f t="shared" si="17"/>
        <v>0</v>
      </c>
      <c r="M21" s="990"/>
      <c r="N21" s="944"/>
      <c r="O21" s="800"/>
      <c r="P21" s="797"/>
      <c r="Q21" s="461" t="str">
        <f t="shared" si="9"/>
        <v/>
      </c>
      <c r="R21" s="238" t="str">
        <f t="shared" si="10"/>
        <v/>
      </c>
      <c r="S21" s="238" t="str">
        <f t="shared" si="11"/>
        <v/>
      </c>
      <c r="T21" s="238" t="str">
        <f t="shared" si="12"/>
        <v/>
      </c>
      <c r="U21" s="316" t="str">
        <f t="shared" si="13"/>
        <v/>
      </c>
    </row>
    <row r="22" spans="1:21" ht="30.95" customHeight="1" x14ac:dyDescent="0.3">
      <c r="A22" s="102"/>
      <c r="B22" s="986"/>
      <c r="C22" s="674" t="s">
        <v>1706</v>
      </c>
      <c r="D22" s="641"/>
      <c r="E22" s="641"/>
      <c r="F22" s="629"/>
      <c r="G22" s="629"/>
      <c r="H22" s="630">
        <f t="shared" si="37"/>
        <v>0</v>
      </c>
      <c r="I22" s="631">
        <f t="shared" si="38"/>
        <v>0</v>
      </c>
      <c r="J22" s="590">
        <v>1.7999999999999999E-2</v>
      </c>
      <c r="K22" s="590">
        <v>5.9999999999999995E-4</v>
      </c>
      <c r="L22" s="590">
        <f t="shared" si="17"/>
        <v>0</v>
      </c>
      <c r="M22" s="990"/>
      <c r="N22" s="944"/>
      <c r="O22" s="800"/>
      <c r="P22" s="797"/>
      <c r="Q22" s="461" t="str">
        <f t="shared" si="9"/>
        <v/>
      </c>
      <c r="R22" s="238" t="str">
        <f t="shared" si="10"/>
        <v/>
      </c>
      <c r="S22" s="238" t="str">
        <f t="shared" si="11"/>
        <v/>
      </c>
      <c r="T22" s="238" t="str">
        <f t="shared" si="12"/>
        <v/>
      </c>
      <c r="U22" s="316" t="str">
        <f t="shared" si="13"/>
        <v/>
      </c>
    </row>
    <row r="23" spans="1:21" ht="30.95" customHeight="1" x14ac:dyDescent="0.3">
      <c r="A23" s="102"/>
      <c r="B23" s="986"/>
      <c r="C23" s="675" t="s">
        <v>1706</v>
      </c>
      <c r="D23" s="636"/>
      <c r="E23" s="636"/>
      <c r="F23" s="629"/>
      <c r="G23" s="629"/>
      <c r="H23" s="630">
        <f t="shared" si="37"/>
        <v>0</v>
      </c>
      <c r="I23" s="631">
        <f t="shared" si="38"/>
        <v>0</v>
      </c>
      <c r="J23" s="590">
        <v>1.7999999999999999E-2</v>
      </c>
      <c r="K23" s="590">
        <v>5.9999999999999995E-4</v>
      </c>
      <c r="L23" s="590">
        <f t="shared" ref="L23:L24" si="39">ROUND(H23*J23+I23*K23,3)</f>
        <v>0</v>
      </c>
      <c r="M23" s="990"/>
      <c r="N23" s="944"/>
      <c r="O23" s="800"/>
      <c r="P23" s="797"/>
      <c r="Q23" s="461" t="str">
        <f t="shared" si="9"/>
        <v/>
      </c>
      <c r="R23" s="238" t="str">
        <f t="shared" si="10"/>
        <v/>
      </c>
      <c r="S23" s="238" t="str">
        <f t="shared" si="11"/>
        <v/>
      </c>
      <c r="T23" s="238" t="str">
        <f t="shared" si="12"/>
        <v/>
      </c>
      <c r="U23" s="316" t="str">
        <f t="shared" si="13"/>
        <v/>
      </c>
    </row>
    <row r="24" spans="1:21" ht="30.95" customHeight="1" x14ac:dyDescent="0.3">
      <c r="A24" s="102"/>
      <c r="B24" s="986"/>
      <c r="C24" s="675" t="s">
        <v>1706</v>
      </c>
      <c r="D24" s="636"/>
      <c r="E24" s="636"/>
      <c r="F24" s="629"/>
      <c r="G24" s="629"/>
      <c r="H24" s="630">
        <f t="shared" si="37"/>
        <v>0</v>
      </c>
      <c r="I24" s="631">
        <f t="shared" si="38"/>
        <v>0</v>
      </c>
      <c r="J24" s="590">
        <v>1.7999999999999999E-2</v>
      </c>
      <c r="K24" s="590">
        <v>5.9999999999999995E-4</v>
      </c>
      <c r="L24" s="590">
        <f t="shared" si="39"/>
        <v>0</v>
      </c>
      <c r="M24" s="990"/>
      <c r="N24" s="944"/>
      <c r="O24" s="800"/>
      <c r="P24" s="797"/>
      <c r="Q24" s="461" t="str">
        <f t="shared" si="9"/>
        <v/>
      </c>
      <c r="R24" s="238" t="str">
        <f t="shared" si="10"/>
        <v/>
      </c>
      <c r="S24" s="238" t="str">
        <f t="shared" si="11"/>
        <v/>
      </c>
      <c r="T24" s="238" t="str">
        <f t="shared" si="12"/>
        <v/>
      </c>
      <c r="U24" s="316" t="str">
        <f t="shared" si="13"/>
        <v/>
      </c>
    </row>
    <row r="25" spans="1:21" ht="30.95" customHeight="1" x14ac:dyDescent="0.3">
      <c r="A25" s="102"/>
      <c r="B25" s="986"/>
      <c r="C25" s="675" t="s">
        <v>1706</v>
      </c>
      <c r="D25" s="636"/>
      <c r="E25" s="636"/>
      <c r="F25" s="629"/>
      <c r="G25" s="629"/>
      <c r="H25" s="630">
        <f t="shared" ref="H25:H37" si="40">IF(S25="",0,S25+R25+T25+IF(SUM(Q25,U25)&gt;29,1,0))</f>
        <v>0</v>
      </c>
      <c r="I25" s="631">
        <f t="shared" ref="I25:I37" si="41">IF(OR(Q25="",U25=""),0,IF(SUM(Q25,U25)&gt;=30,SUM(Q25,U25)-30,SUM(Q25,U25)))</f>
        <v>0</v>
      </c>
      <c r="J25" s="590">
        <v>1.7999999999999999E-2</v>
      </c>
      <c r="K25" s="590">
        <v>5.9999999999999995E-4</v>
      </c>
      <c r="L25" s="590">
        <f t="shared" si="17"/>
        <v>0</v>
      </c>
      <c r="M25" s="990"/>
      <c r="N25" s="944"/>
      <c r="O25" s="800"/>
      <c r="P25" s="797"/>
      <c r="Q25" s="461" t="str">
        <f t="shared" ref="Q25:Q37" si="42">IF(ISBLANK(F25),"",IF(AND(YEAR(F25)=YEAR(G25),MONTH(F25)=MONTH(G25)),DAY(G25)-DAY(F25)+1,IF(DAY(F25)=1,0,DAY(DATE(YEAR(F25),MONTH(F25)+1,0))-DAY(F25)+1)))</f>
        <v/>
      </c>
      <c r="R25" s="238" t="str">
        <f t="shared" ref="R25:R37" si="43">IF(ISBLANK(F25),"",IF(AND(YEAR(F25)=YEAR(G25),MONTH(F25)=MONTH(G25)),0,IF(DAY(F25)=1,1,0)))</f>
        <v/>
      </c>
      <c r="S25" s="238" t="str">
        <f t="shared" ref="S25:S37" si="44">IF(OR(F25="",G25=""),"",IF(AND(YEAR(F25)=YEAR(G25),MONTH(F25)=MONTH(G25)),0,DATEDIF(F25,G25,"M")-IF(DAY(F25)&lt;=DAY(G25),1,0)))</f>
        <v/>
      </c>
      <c r="T25" s="238" t="str">
        <f t="shared" ref="T25:T37" si="45">IF(ISBLANK(G25),"",IF(AND(YEAR(F25)=YEAR(G25),MONTH(F25)=MONTH(G25)),0,IF(DAY(G25)=DAY(DATE(YEAR(G25),MONTH(G25)+1,0)),1,0)))</f>
        <v/>
      </c>
      <c r="U25" s="316" t="str">
        <f t="shared" ref="U25:U37" si="46">IF(ISBLANK(G25),"",IF(AND(YEAR(F25)=YEAR(G25),MONTH(F25)=MONTH(G25)),0,IF(DAY(G25)=DAY(DATE(YEAR(G25),MONTH(G25)+1,0)),0,DAY(G25))))</f>
        <v/>
      </c>
    </row>
    <row r="26" spans="1:21" ht="30.95" customHeight="1" thickBot="1" x14ac:dyDescent="0.35">
      <c r="A26" s="102"/>
      <c r="B26" s="986"/>
      <c r="C26" s="671" t="s">
        <v>1706</v>
      </c>
      <c r="D26" s="659"/>
      <c r="E26" s="659"/>
      <c r="F26" s="660"/>
      <c r="G26" s="660"/>
      <c r="H26" s="661">
        <f t="shared" si="40"/>
        <v>0</v>
      </c>
      <c r="I26" s="662">
        <f t="shared" si="41"/>
        <v>0</v>
      </c>
      <c r="J26" s="663">
        <v>1.7999999999999999E-2</v>
      </c>
      <c r="K26" s="663">
        <v>5.9999999999999995E-4</v>
      </c>
      <c r="L26" s="663">
        <f t="shared" si="17"/>
        <v>0</v>
      </c>
      <c r="M26" s="990"/>
      <c r="N26" s="944"/>
      <c r="O26" s="800"/>
      <c r="P26" s="797"/>
      <c r="Q26" s="461" t="str">
        <f t="shared" si="42"/>
        <v/>
      </c>
      <c r="R26" s="238" t="str">
        <f t="shared" si="43"/>
        <v/>
      </c>
      <c r="S26" s="238" t="str">
        <f t="shared" si="44"/>
        <v/>
      </c>
      <c r="T26" s="238" t="str">
        <f t="shared" si="45"/>
        <v/>
      </c>
      <c r="U26" s="316" t="str">
        <f t="shared" si="46"/>
        <v/>
      </c>
    </row>
    <row r="27" spans="1:21" ht="30.95" customHeight="1" thickTop="1" x14ac:dyDescent="0.3">
      <c r="A27" s="102"/>
      <c r="B27" s="986"/>
      <c r="C27" s="673" t="s">
        <v>1708</v>
      </c>
      <c r="D27" s="636"/>
      <c r="E27" s="636"/>
      <c r="F27" s="629"/>
      <c r="G27" s="629"/>
      <c r="H27" s="630">
        <f t="shared" si="40"/>
        <v>0</v>
      </c>
      <c r="I27" s="631">
        <f t="shared" si="41"/>
        <v>0</v>
      </c>
      <c r="J27" s="590">
        <v>1.4999999999999999E-2</v>
      </c>
      <c r="K27" s="590">
        <v>5.0000000000000001E-4</v>
      </c>
      <c r="L27" s="590">
        <f t="shared" si="17"/>
        <v>0</v>
      </c>
      <c r="M27" s="990"/>
      <c r="N27" s="944"/>
      <c r="O27" s="800"/>
      <c r="P27" s="797"/>
      <c r="Q27" s="461" t="str">
        <f t="shared" si="42"/>
        <v/>
      </c>
      <c r="R27" s="238" t="str">
        <f t="shared" si="43"/>
        <v/>
      </c>
      <c r="S27" s="238" t="str">
        <f t="shared" si="44"/>
        <v/>
      </c>
      <c r="T27" s="238" t="str">
        <f t="shared" si="45"/>
        <v/>
      </c>
      <c r="U27" s="316" t="str">
        <f t="shared" si="46"/>
        <v/>
      </c>
    </row>
    <row r="28" spans="1:21" ht="30.95" customHeight="1" x14ac:dyDescent="0.3">
      <c r="A28" s="102"/>
      <c r="B28" s="986"/>
      <c r="C28" s="676" t="s">
        <v>1708</v>
      </c>
      <c r="D28" s="638"/>
      <c r="E28" s="638"/>
      <c r="F28" s="637"/>
      <c r="G28" s="637"/>
      <c r="H28" s="630">
        <f t="shared" ref="H28:H29" si="47">IF(S28="",0,S28+R28+T28+IF(SUM(Q28,U28)&gt;29,1,0))</f>
        <v>0</v>
      </c>
      <c r="I28" s="631">
        <f t="shared" ref="I28:I29" si="48">IF(OR(Q28="",U28=""),0,IF(SUM(Q28,U28)&gt;=30,SUM(Q28,U28)-30,SUM(Q28,U28)))</f>
        <v>0</v>
      </c>
      <c r="J28" s="592">
        <v>1.4999999999999999E-2</v>
      </c>
      <c r="K28" s="592">
        <v>5.0000000000000001E-4</v>
      </c>
      <c r="L28" s="590">
        <f t="shared" ref="L28:L29" si="49">ROUND(H28*J28+I28*K28,3)</f>
        <v>0</v>
      </c>
      <c r="M28" s="990"/>
      <c r="N28" s="944"/>
      <c r="O28" s="800"/>
      <c r="P28" s="797"/>
      <c r="Q28" s="461" t="str">
        <f t="shared" ref="Q28:Q29" si="50">IF(ISBLANK(F28),"",IF(AND(YEAR(F28)=YEAR(G28),MONTH(F28)=MONTH(G28)),DAY(G28)-DAY(F28)+1,IF(DAY(F28)=1,0,DAY(DATE(YEAR(F28),MONTH(F28)+1,0))-DAY(F28)+1)))</f>
        <v/>
      </c>
      <c r="R28" s="238" t="str">
        <f t="shared" ref="R28:R29" si="51">IF(ISBLANK(F28),"",IF(AND(YEAR(F28)=YEAR(G28),MONTH(F28)=MONTH(G28)),0,IF(DAY(F28)=1,1,0)))</f>
        <v/>
      </c>
      <c r="S28" s="238" t="str">
        <f t="shared" ref="S28:S29" si="52">IF(OR(F28="",G28=""),"",IF(AND(YEAR(F28)=YEAR(G28),MONTH(F28)=MONTH(G28)),0,DATEDIF(F28,G28,"M")-IF(DAY(F28)&lt;=DAY(G28),1,0)))</f>
        <v/>
      </c>
      <c r="T28" s="238" t="str">
        <f t="shared" ref="T28:T29" si="53">IF(ISBLANK(G28),"",IF(AND(YEAR(F28)=YEAR(G28),MONTH(F28)=MONTH(G28)),0,IF(DAY(G28)=DAY(DATE(YEAR(G28),MONTH(G28)+1,0)),1,0)))</f>
        <v/>
      </c>
      <c r="U28" s="316" t="str">
        <f t="shared" ref="U28:U29" si="54">IF(ISBLANK(G28),"",IF(AND(YEAR(F28)=YEAR(G28),MONTH(F28)=MONTH(G28)),0,IF(DAY(G28)=DAY(DATE(YEAR(G28),MONTH(G28)+1,0)),0,DAY(G28))))</f>
        <v/>
      </c>
    </row>
    <row r="29" spans="1:21" ht="30.95" customHeight="1" x14ac:dyDescent="0.3">
      <c r="A29" s="102"/>
      <c r="B29" s="986"/>
      <c r="C29" s="676" t="s">
        <v>1708</v>
      </c>
      <c r="D29" s="638"/>
      <c r="E29" s="638"/>
      <c r="F29" s="637"/>
      <c r="G29" s="637"/>
      <c r="H29" s="630">
        <f t="shared" si="47"/>
        <v>0</v>
      </c>
      <c r="I29" s="631">
        <f t="shared" si="48"/>
        <v>0</v>
      </c>
      <c r="J29" s="592">
        <v>1.4999999999999999E-2</v>
      </c>
      <c r="K29" s="592">
        <v>5.0000000000000001E-4</v>
      </c>
      <c r="L29" s="590">
        <f t="shared" si="49"/>
        <v>0</v>
      </c>
      <c r="M29" s="990"/>
      <c r="N29" s="944"/>
      <c r="O29" s="800"/>
      <c r="P29" s="797"/>
      <c r="Q29" s="461" t="str">
        <f t="shared" si="50"/>
        <v/>
      </c>
      <c r="R29" s="238" t="str">
        <f t="shared" si="51"/>
        <v/>
      </c>
      <c r="S29" s="238" t="str">
        <f t="shared" si="52"/>
        <v/>
      </c>
      <c r="T29" s="238" t="str">
        <f t="shared" si="53"/>
        <v/>
      </c>
      <c r="U29" s="316" t="str">
        <f t="shared" si="54"/>
        <v/>
      </c>
    </row>
    <row r="30" spans="1:21" ht="30.95" customHeight="1" x14ac:dyDescent="0.3">
      <c r="A30" s="102"/>
      <c r="B30" s="986"/>
      <c r="C30" s="676" t="s">
        <v>1708</v>
      </c>
      <c r="D30" s="638"/>
      <c r="E30" s="638"/>
      <c r="F30" s="637"/>
      <c r="G30" s="637"/>
      <c r="H30" s="630">
        <f t="shared" si="40"/>
        <v>0</v>
      </c>
      <c r="I30" s="631">
        <f t="shared" si="41"/>
        <v>0</v>
      </c>
      <c r="J30" s="592">
        <v>1.4999999999999999E-2</v>
      </c>
      <c r="K30" s="592">
        <v>5.0000000000000001E-4</v>
      </c>
      <c r="L30" s="590">
        <f t="shared" si="17"/>
        <v>0</v>
      </c>
      <c r="M30" s="990"/>
      <c r="N30" s="944"/>
      <c r="O30" s="800"/>
      <c r="P30" s="797"/>
      <c r="Q30" s="461" t="str">
        <f t="shared" si="42"/>
        <v/>
      </c>
      <c r="R30" s="238" t="str">
        <f t="shared" si="43"/>
        <v/>
      </c>
      <c r="S30" s="238" t="str">
        <f t="shared" si="44"/>
        <v/>
      </c>
      <c r="T30" s="238" t="str">
        <f t="shared" si="45"/>
        <v/>
      </c>
      <c r="U30" s="316" t="str">
        <f t="shared" si="46"/>
        <v/>
      </c>
    </row>
    <row r="31" spans="1:21" ht="30.95" customHeight="1" thickBot="1" x14ac:dyDescent="0.35">
      <c r="A31" s="102"/>
      <c r="B31" s="986"/>
      <c r="C31" s="671" t="s">
        <v>1708</v>
      </c>
      <c r="D31" s="659"/>
      <c r="E31" s="659"/>
      <c r="F31" s="660"/>
      <c r="G31" s="660"/>
      <c r="H31" s="661">
        <f t="shared" si="40"/>
        <v>0</v>
      </c>
      <c r="I31" s="662">
        <f t="shared" si="41"/>
        <v>0</v>
      </c>
      <c r="J31" s="663">
        <v>1.4999999999999999E-2</v>
      </c>
      <c r="K31" s="663">
        <v>5.0000000000000001E-4</v>
      </c>
      <c r="L31" s="663">
        <f t="shared" si="17"/>
        <v>0</v>
      </c>
      <c r="M31" s="990"/>
      <c r="N31" s="944"/>
      <c r="O31" s="800"/>
      <c r="P31" s="797"/>
      <c r="Q31" s="461" t="str">
        <f t="shared" si="42"/>
        <v/>
      </c>
      <c r="R31" s="238" t="str">
        <f t="shared" si="43"/>
        <v/>
      </c>
      <c r="S31" s="238" t="str">
        <f t="shared" si="44"/>
        <v/>
      </c>
      <c r="T31" s="238" t="str">
        <f t="shared" si="45"/>
        <v/>
      </c>
      <c r="U31" s="316" t="str">
        <f t="shared" si="46"/>
        <v/>
      </c>
    </row>
    <row r="32" spans="1:21" ht="30.95" customHeight="1" thickTop="1" x14ac:dyDescent="0.3">
      <c r="A32" s="102"/>
      <c r="B32" s="986"/>
      <c r="C32" s="673" t="s">
        <v>1707</v>
      </c>
      <c r="D32" s="640"/>
      <c r="E32" s="640"/>
      <c r="F32" s="629"/>
      <c r="G32" s="629"/>
      <c r="H32" s="630">
        <f t="shared" si="40"/>
        <v>0</v>
      </c>
      <c r="I32" s="631">
        <f t="shared" si="41"/>
        <v>0</v>
      </c>
      <c r="J32" s="665">
        <v>1.2E-2</v>
      </c>
      <c r="K32" s="665">
        <v>4.0000000000000002E-4</v>
      </c>
      <c r="L32" s="590">
        <f t="shared" si="17"/>
        <v>0</v>
      </c>
      <c r="M32" s="990"/>
      <c r="N32" s="944"/>
      <c r="O32" s="800"/>
      <c r="P32" s="797"/>
      <c r="Q32" s="461" t="str">
        <f t="shared" si="42"/>
        <v/>
      </c>
      <c r="R32" s="238" t="str">
        <f t="shared" si="43"/>
        <v/>
      </c>
      <c r="S32" s="238" t="str">
        <f t="shared" si="44"/>
        <v/>
      </c>
      <c r="T32" s="238" t="str">
        <f t="shared" si="45"/>
        <v/>
      </c>
      <c r="U32" s="316" t="str">
        <f t="shared" si="46"/>
        <v/>
      </c>
    </row>
    <row r="33" spans="1:27" ht="30.95" customHeight="1" x14ac:dyDescent="0.3">
      <c r="A33" s="102"/>
      <c r="B33" s="986"/>
      <c r="C33" s="676" t="s">
        <v>1707</v>
      </c>
      <c r="D33" s="638"/>
      <c r="E33" s="638"/>
      <c r="F33" s="637"/>
      <c r="G33" s="637"/>
      <c r="H33" s="630">
        <f t="shared" ref="H33:H34" si="55">IF(S33="",0,S33+R33+T33+IF(SUM(Q33,U33)&gt;29,1,0))</f>
        <v>0</v>
      </c>
      <c r="I33" s="631">
        <f t="shared" ref="I33:I34" si="56">IF(OR(Q33="",U33=""),0,IF(SUM(Q33,U33)&gt;=30,SUM(Q33,U33)-30,SUM(Q33,U33)))</f>
        <v>0</v>
      </c>
      <c r="J33" s="593">
        <v>1.2E-2</v>
      </c>
      <c r="K33" s="593">
        <v>4.0000000000000002E-4</v>
      </c>
      <c r="L33" s="590">
        <f t="shared" ref="L33:L34" si="57">ROUND(H33*J33+I33*K33,3)</f>
        <v>0</v>
      </c>
      <c r="M33" s="990"/>
      <c r="N33" s="944"/>
      <c r="O33" s="800"/>
      <c r="P33" s="797"/>
      <c r="Q33" s="461" t="str">
        <f t="shared" ref="Q33:Q34" si="58">IF(ISBLANK(F33),"",IF(AND(YEAR(F33)=YEAR(G33),MONTH(F33)=MONTH(G33)),DAY(G33)-DAY(F33)+1,IF(DAY(F33)=1,0,DAY(DATE(YEAR(F33),MONTH(F33)+1,0))-DAY(F33)+1)))</f>
        <v/>
      </c>
      <c r="R33" s="238" t="str">
        <f t="shared" ref="R33:R34" si="59">IF(ISBLANK(F33),"",IF(AND(YEAR(F33)=YEAR(G33),MONTH(F33)=MONTH(G33)),0,IF(DAY(F33)=1,1,0)))</f>
        <v/>
      </c>
      <c r="S33" s="238" t="str">
        <f t="shared" ref="S33:S34" si="60">IF(OR(F33="",G33=""),"",IF(AND(YEAR(F33)=YEAR(G33),MONTH(F33)=MONTH(G33)),0,DATEDIF(F33,G33,"M")-IF(DAY(F33)&lt;=DAY(G33),1,0)))</f>
        <v/>
      </c>
      <c r="T33" s="238" t="str">
        <f t="shared" ref="T33:T34" si="61">IF(ISBLANK(G33),"",IF(AND(YEAR(F33)=YEAR(G33),MONTH(F33)=MONTH(G33)),0,IF(DAY(G33)=DAY(DATE(YEAR(G33),MONTH(G33)+1,0)),1,0)))</f>
        <v/>
      </c>
      <c r="U33" s="316" t="str">
        <f t="shared" ref="U33:U34" si="62">IF(ISBLANK(G33),"",IF(AND(YEAR(F33)=YEAR(G33),MONTH(F33)=MONTH(G33)),0,IF(DAY(G33)=DAY(DATE(YEAR(G33),MONTH(G33)+1,0)),0,DAY(G33))))</f>
        <v/>
      </c>
    </row>
    <row r="34" spans="1:27" ht="30.95" customHeight="1" x14ac:dyDescent="0.3">
      <c r="A34" s="102"/>
      <c r="B34" s="986"/>
      <c r="C34" s="676" t="s">
        <v>1707</v>
      </c>
      <c r="D34" s="638"/>
      <c r="E34" s="638"/>
      <c r="F34" s="637"/>
      <c r="G34" s="637"/>
      <c r="H34" s="630">
        <f t="shared" si="55"/>
        <v>0</v>
      </c>
      <c r="I34" s="631">
        <f t="shared" si="56"/>
        <v>0</v>
      </c>
      <c r="J34" s="593">
        <v>1.2E-2</v>
      </c>
      <c r="K34" s="593">
        <v>4.0000000000000002E-4</v>
      </c>
      <c r="L34" s="590">
        <f t="shared" si="57"/>
        <v>0</v>
      </c>
      <c r="M34" s="990"/>
      <c r="N34" s="944"/>
      <c r="O34" s="800"/>
      <c r="P34" s="797"/>
      <c r="Q34" s="461" t="str">
        <f t="shared" si="58"/>
        <v/>
      </c>
      <c r="R34" s="238" t="str">
        <f t="shared" si="59"/>
        <v/>
      </c>
      <c r="S34" s="238" t="str">
        <f t="shared" si="60"/>
        <v/>
      </c>
      <c r="T34" s="238" t="str">
        <f t="shared" si="61"/>
        <v/>
      </c>
      <c r="U34" s="316" t="str">
        <f t="shared" si="62"/>
        <v/>
      </c>
    </row>
    <row r="35" spans="1:27" ht="30.95" customHeight="1" x14ac:dyDescent="0.3">
      <c r="A35" s="102"/>
      <c r="B35" s="986"/>
      <c r="C35" s="676" t="s">
        <v>1707</v>
      </c>
      <c r="D35" s="638"/>
      <c r="E35" s="638"/>
      <c r="F35" s="637"/>
      <c r="G35" s="637"/>
      <c r="H35" s="630">
        <f t="shared" si="40"/>
        <v>0</v>
      </c>
      <c r="I35" s="631">
        <f t="shared" si="41"/>
        <v>0</v>
      </c>
      <c r="J35" s="593">
        <v>1.2E-2</v>
      </c>
      <c r="K35" s="593">
        <v>4.0000000000000002E-4</v>
      </c>
      <c r="L35" s="590">
        <f t="shared" si="17"/>
        <v>0</v>
      </c>
      <c r="M35" s="990"/>
      <c r="N35" s="944"/>
      <c r="O35" s="800"/>
      <c r="P35" s="797"/>
      <c r="Q35" s="461" t="str">
        <f t="shared" si="42"/>
        <v/>
      </c>
      <c r="R35" s="238" t="str">
        <f t="shared" si="43"/>
        <v/>
      </c>
      <c r="S35" s="238" t="str">
        <f t="shared" si="44"/>
        <v/>
      </c>
      <c r="T35" s="238" t="str">
        <f t="shared" si="45"/>
        <v/>
      </c>
      <c r="U35" s="316" t="str">
        <f t="shared" si="46"/>
        <v/>
      </c>
    </row>
    <row r="36" spans="1:27" ht="30.95" customHeight="1" thickBot="1" x14ac:dyDescent="0.35">
      <c r="A36" s="102"/>
      <c r="B36" s="986"/>
      <c r="C36" s="671" t="s">
        <v>1707</v>
      </c>
      <c r="D36" s="659"/>
      <c r="E36" s="659"/>
      <c r="F36" s="660"/>
      <c r="G36" s="660"/>
      <c r="H36" s="661">
        <f t="shared" si="40"/>
        <v>0</v>
      </c>
      <c r="I36" s="662">
        <f t="shared" si="41"/>
        <v>0</v>
      </c>
      <c r="J36" s="663">
        <v>1.2E-2</v>
      </c>
      <c r="K36" s="663">
        <v>4.0000000000000002E-4</v>
      </c>
      <c r="L36" s="663">
        <f t="shared" si="17"/>
        <v>0</v>
      </c>
      <c r="M36" s="990"/>
      <c r="N36" s="944"/>
      <c r="O36" s="800"/>
      <c r="P36" s="797"/>
      <c r="Q36" s="461" t="str">
        <f t="shared" si="42"/>
        <v/>
      </c>
      <c r="R36" s="238" t="str">
        <f t="shared" si="43"/>
        <v/>
      </c>
      <c r="S36" s="238" t="str">
        <f t="shared" si="44"/>
        <v/>
      </c>
      <c r="T36" s="238" t="str">
        <f t="shared" si="45"/>
        <v/>
      </c>
      <c r="U36" s="316" t="str">
        <f t="shared" si="46"/>
        <v/>
      </c>
    </row>
    <row r="37" spans="1:27" ht="30.95" customHeight="1" thickTop="1" x14ac:dyDescent="0.3">
      <c r="A37" s="102"/>
      <c r="B37" s="986"/>
      <c r="C37" s="673" t="s">
        <v>1709</v>
      </c>
      <c r="D37" s="640"/>
      <c r="E37" s="640"/>
      <c r="F37" s="629"/>
      <c r="G37" s="629"/>
      <c r="H37" s="630">
        <f t="shared" si="40"/>
        <v>0</v>
      </c>
      <c r="I37" s="631">
        <f t="shared" si="41"/>
        <v>0</v>
      </c>
      <c r="J37" s="665">
        <v>8.9999999999999993E-3</v>
      </c>
      <c r="K37" s="665">
        <v>2.9999999999999997E-4</v>
      </c>
      <c r="L37" s="590">
        <f t="shared" si="17"/>
        <v>0</v>
      </c>
      <c r="M37" s="990"/>
      <c r="N37" s="944"/>
      <c r="O37" s="800"/>
      <c r="P37" s="797"/>
      <c r="Q37" s="461" t="str">
        <f t="shared" si="42"/>
        <v/>
      </c>
      <c r="R37" s="238" t="str">
        <f t="shared" si="43"/>
        <v/>
      </c>
      <c r="S37" s="238" t="str">
        <f t="shared" si="44"/>
        <v/>
      </c>
      <c r="T37" s="238" t="str">
        <f t="shared" si="45"/>
        <v/>
      </c>
      <c r="U37" s="316" t="str">
        <f t="shared" si="46"/>
        <v/>
      </c>
    </row>
    <row r="38" spans="1:27" ht="30.95" customHeight="1" x14ac:dyDescent="0.3">
      <c r="A38" s="102"/>
      <c r="B38" s="986"/>
      <c r="C38" s="676" t="s">
        <v>1709</v>
      </c>
      <c r="D38" s="638"/>
      <c r="E38" s="638"/>
      <c r="F38" s="637"/>
      <c r="G38" s="637"/>
      <c r="H38" s="630">
        <f t="shared" ref="H38:H44" si="63">IF(S38="",0,S38+R38+T38+IF(SUM(Q38,U38)&gt;29,1,0))</f>
        <v>0</v>
      </c>
      <c r="I38" s="631">
        <f t="shared" ref="I38:I44" si="64">IF(OR(Q38="",U38=""),0,IF(SUM(Q38,U38)&gt;=30,SUM(Q38,U38)-30,SUM(Q38,U38)))</f>
        <v>0</v>
      </c>
      <c r="J38" s="593">
        <v>8.9999999999999993E-3</v>
      </c>
      <c r="K38" s="593">
        <v>2.9999999999999997E-4</v>
      </c>
      <c r="L38" s="590">
        <f t="shared" ref="L38" si="65">ROUND(H38*J38+I38*K38,3)</f>
        <v>0</v>
      </c>
      <c r="M38" s="990"/>
      <c r="N38" s="944"/>
      <c r="O38" s="800"/>
      <c r="P38" s="797"/>
      <c r="Q38" s="461" t="str">
        <f t="shared" ref="Q38:Q44" si="66">IF(ISBLANK(F38),"",IF(AND(YEAR(F38)=YEAR(G38),MONTH(F38)=MONTH(G38)),DAY(G38)-DAY(F38)+1,IF(DAY(F38)=1,0,DAY(DATE(YEAR(F38),MONTH(F38)+1,0))-DAY(F38)+1)))</f>
        <v/>
      </c>
      <c r="R38" s="238" t="str">
        <f t="shared" ref="R38:R44" si="67">IF(ISBLANK(F38),"",IF(AND(YEAR(F38)=YEAR(G38),MONTH(F38)=MONTH(G38)),0,IF(DAY(F38)=1,1,0)))</f>
        <v/>
      </c>
      <c r="S38" s="238" t="str">
        <f t="shared" ref="S38:S44" si="68">IF(OR(F38="",G38=""),"",IF(AND(YEAR(F38)=YEAR(G38),MONTH(F38)=MONTH(G38)),0,DATEDIF(F38,G38,"M")-IF(DAY(F38)&lt;=DAY(G38),1,0)))</f>
        <v/>
      </c>
      <c r="T38" s="238" t="str">
        <f t="shared" ref="T38:T44" si="69">IF(ISBLANK(G38),"",IF(AND(YEAR(F38)=YEAR(G38),MONTH(F38)=MONTH(G38)),0,IF(DAY(G38)=DAY(DATE(YEAR(G38),MONTH(G38)+1,0)),1,0)))</f>
        <v/>
      </c>
      <c r="U38" s="316" t="str">
        <f t="shared" ref="U38:U44" si="70">IF(ISBLANK(G38),"",IF(AND(YEAR(F38)=YEAR(G38),MONTH(F38)=MONTH(G38)),0,IF(DAY(G38)=DAY(DATE(YEAR(G38),MONTH(G38)+1,0)),0,DAY(G38))))</f>
        <v/>
      </c>
    </row>
    <row r="39" spans="1:27" ht="30.95" customHeight="1" x14ac:dyDescent="0.3">
      <c r="A39" s="102"/>
      <c r="B39" s="986"/>
      <c r="C39" s="676" t="s">
        <v>1709</v>
      </c>
      <c r="D39" s="638"/>
      <c r="E39" s="638"/>
      <c r="F39" s="637"/>
      <c r="G39" s="637"/>
      <c r="H39" s="630">
        <f t="shared" si="63"/>
        <v>0</v>
      </c>
      <c r="I39" s="631">
        <f t="shared" si="64"/>
        <v>0</v>
      </c>
      <c r="J39" s="593">
        <v>8.9999999999999993E-3</v>
      </c>
      <c r="K39" s="593">
        <v>2.9999999999999997E-4</v>
      </c>
      <c r="L39" s="590">
        <f t="shared" ref="L39" si="71">ROUND(H39*J39+I39*K39,3)</f>
        <v>0</v>
      </c>
      <c r="M39" s="990"/>
      <c r="N39" s="944"/>
      <c r="O39" s="800"/>
      <c r="P39" s="797"/>
      <c r="Q39" s="461" t="str">
        <f t="shared" si="66"/>
        <v/>
      </c>
      <c r="R39" s="238" t="str">
        <f t="shared" si="67"/>
        <v/>
      </c>
      <c r="S39" s="238" t="str">
        <f t="shared" si="68"/>
        <v/>
      </c>
      <c r="T39" s="238" t="str">
        <f t="shared" si="69"/>
        <v/>
      </c>
      <c r="U39" s="316" t="str">
        <f t="shared" si="70"/>
        <v/>
      </c>
    </row>
    <row r="40" spans="1:27" ht="30.95" customHeight="1" x14ac:dyDescent="0.3">
      <c r="A40" s="102"/>
      <c r="B40" s="986"/>
      <c r="C40" s="676" t="s">
        <v>1709</v>
      </c>
      <c r="D40" s="638"/>
      <c r="E40" s="638"/>
      <c r="F40" s="637"/>
      <c r="G40" s="637"/>
      <c r="H40" s="630">
        <f t="shared" si="63"/>
        <v>0</v>
      </c>
      <c r="I40" s="631">
        <f t="shared" si="64"/>
        <v>0</v>
      </c>
      <c r="J40" s="593">
        <v>8.9999999999999993E-3</v>
      </c>
      <c r="K40" s="593">
        <v>2.9999999999999997E-4</v>
      </c>
      <c r="L40" s="590">
        <f t="shared" si="17"/>
        <v>0</v>
      </c>
      <c r="M40" s="990"/>
      <c r="N40" s="944"/>
      <c r="O40" s="800"/>
      <c r="P40" s="797"/>
      <c r="Q40" s="461" t="str">
        <f t="shared" si="66"/>
        <v/>
      </c>
      <c r="R40" s="238" t="str">
        <f t="shared" si="67"/>
        <v/>
      </c>
      <c r="S40" s="238" t="str">
        <f t="shared" si="68"/>
        <v/>
      </c>
      <c r="T40" s="238" t="str">
        <f t="shared" si="69"/>
        <v/>
      </c>
      <c r="U40" s="316" t="str">
        <f t="shared" si="70"/>
        <v/>
      </c>
    </row>
    <row r="41" spans="1:27" ht="30.95" customHeight="1" thickBot="1" x14ac:dyDescent="0.35">
      <c r="A41" s="102"/>
      <c r="B41" s="986"/>
      <c r="C41" s="671" t="s">
        <v>1766</v>
      </c>
      <c r="D41" s="659"/>
      <c r="E41" s="659"/>
      <c r="F41" s="660"/>
      <c r="G41" s="660"/>
      <c r="H41" s="661">
        <f t="shared" si="63"/>
        <v>0</v>
      </c>
      <c r="I41" s="662">
        <f t="shared" si="64"/>
        <v>0</v>
      </c>
      <c r="J41" s="663">
        <v>8.9999999999999993E-3</v>
      </c>
      <c r="K41" s="663">
        <v>2.9999999999999997E-4</v>
      </c>
      <c r="L41" s="663">
        <f t="shared" si="17"/>
        <v>0</v>
      </c>
      <c r="M41" s="990"/>
      <c r="N41" s="944"/>
      <c r="O41" s="800"/>
      <c r="P41" s="797"/>
      <c r="Q41" s="720" t="str">
        <f t="shared" si="66"/>
        <v/>
      </c>
      <c r="R41" s="721" t="str">
        <f t="shared" si="67"/>
        <v/>
      </c>
      <c r="S41" s="721" t="str">
        <f t="shared" si="68"/>
        <v/>
      </c>
      <c r="T41" s="721" t="str">
        <f t="shared" si="69"/>
        <v/>
      </c>
      <c r="U41" s="722" t="str">
        <f t="shared" si="70"/>
        <v/>
      </c>
    </row>
    <row r="42" spans="1:27" ht="30.95" customHeight="1" thickTop="1" x14ac:dyDescent="0.3">
      <c r="A42" s="102"/>
      <c r="B42" s="986"/>
      <c r="C42" s="996" t="s">
        <v>1767</v>
      </c>
      <c r="D42" s="640"/>
      <c r="E42" s="640"/>
      <c r="F42" s="760"/>
      <c r="G42" s="760"/>
      <c r="H42" s="630">
        <f t="shared" si="63"/>
        <v>0</v>
      </c>
      <c r="I42" s="631">
        <f t="shared" si="64"/>
        <v>0</v>
      </c>
      <c r="J42" s="665">
        <v>1.2E-2</v>
      </c>
      <c r="K42" s="665">
        <v>4.0000000000000002E-4</v>
      </c>
      <c r="L42" s="590">
        <f t="shared" si="17"/>
        <v>0</v>
      </c>
      <c r="M42" s="990"/>
      <c r="N42" s="944"/>
      <c r="O42" s="800"/>
      <c r="P42" s="797"/>
      <c r="Q42" s="533" t="str">
        <f t="shared" si="66"/>
        <v/>
      </c>
      <c r="R42" s="534" t="str">
        <f t="shared" si="67"/>
        <v/>
      </c>
      <c r="S42" s="534" t="str">
        <f t="shared" si="68"/>
        <v/>
      </c>
      <c r="T42" s="534" t="str">
        <f t="shared" si="69"/>
        <v/>
      </c>
      <c r="U42" s="535" t="str">
        <f t="shared" si="70"/>
        <v/>
      </c>
    </row>
    <row r="43" spans="1:27" ht="30.95" customHeight="1" x14ac:dyDescent="0.3">
      <c r="A43" s="102"/>
      <c r="B43" s="986"/>
      <c r="C43" s="997"/>
      <c r="D43" s="638"/>
      <c r="E43" s="638"/>
      <c r="F43" s="757"/>
      <c r="G43" s="757"/>
      <c r="H43" s="758">
        <f t="shared" si="63"/>
        <v>0</v>
      </c>
      <c r="I43" s="759">
        <f t="shared" si="64"/>
        <v>0</v>
      </c>
      <c r="J43" s="593">
        <v>1.2E-2</v>
      </c>
      <c r="K43" s="593">
        <v>4.0000000000000002E-4</v>
      </c>
      <c r="L43" s="592">
        <f t="shared" si="17"/>
        <v>0</v>
      </c>
      <c r="M43" s="990"/>
      <c r="N43" s="944"/>
      <c r="O43" s="800"/>
      <c r="P43" s="797"/>
      <c r="Q43" s="533" t="str">
        <f t="shared" si="66"/>
        <v/>
      </c>
      <c r="R43" s="534" t="str">
        <f t="shared" si="67"/>
        <v/>
      </c>
      <c r="S43" s="534" t="str">
        <f t="shared" si="68"/>
        <v/>
      </c>
      <c r="T43" s="534" t="str">
        <f t="shared" si="69"/>
        <v/>
      </c>
      <c r="U43" s="535" t="str">
        <f t="shared" si="70"/>
        <v/>
      </c>
    </row>
    <row r="44" spans="1:27" ht="30.95" customHeight="1" thickBot="1" x14ac:dyDescent="0.35">
      <c r="A44" s="102"/>
      <c r="B44" s="987"/>
      <c r="C44" s="998"/>
      <c r="D44" s="642"/>
      <c r="E44" s="642"/>
      <c r="F44" s="643"/>
      <c r="G44" s="643"/>
      <c r="H44" s="644">
        <f t="shared" si="63"/>
        <v>0</v>
      </c>
      <c r="I44" s="645">
        <f t="shared" si="64"/>
        <v>0</v>
      </c>
      <c r="J44" s="594">
        <v>1.2E-2</v>
      </c>
      <c r="K44" s="594">
        <v>4.0000000000000002E-4</v>
      </c>
      <c r="L44" s="594">
        <f t="shared" si="17"/>
        <v>0</v>
      </c>
      <c r="M44" s="991"/>
      <c r="N44" s="944"/>
      <c r="O44" s="980"/>
      <c r="P44" s="981"/>
      <c r="Q44" s="761" t="str">
        <f t="shared" si="66"/>
        <v/>
      </c>
      <c r="R44" s="762" t="str">
        <f t="shared" si="67"/>
        <v/>
      </c>
      <c r="S44" s="762" t="str">
        <f t="shared" si="68"/>
        <v/>
      </c>
      <c r="T44" s="762" t="str">
        <f t="shared" si="69"/>
        <v/>
      </c>
      <c r="U44" s="763" t="str">
        <f t="shared" si="70"/>
        <v/>
      </c>
    </row>
    <row r="45" spans="1:27" s="306" customFormat="1" ht="15.95" customHeight="1" x14ac:dyDescent="0.3">
      <c r="A45" s="107"/>
      <c r="B45" s="36"/>
      <c r="C45" s="37"/>
      <c r="D45" s="37"/>
      <c r="E45" s="36"/>
      <c r="F45" s="677" t="s">
        <v>474</v>
      </c>
      <c r="G45" s="677" t="s">
        <v>474</v>
      </c>
      <c r="H45" s="678"/>
      <c r="I45" s="38"/>
      <c r="J45" s="852"/>
      <c r="K45" s="852"/>
      <c r="L45" s="852"/>
      <c r="M45" s="36"/>
      <c r="N45" s="107"/>
      <c r="O45" s="107"/>
      <c r="P45" s="163"/>
      <c r="Q45" s="107"/>
      <c r="R45" s="112"/>
      <c r="S45" s="107"/>
      <c r="T45" s="107"/>
      <c r="U45" s="107"/>
      <c r="V45" s="107"/>
      <c r="W45" s="107"/>
      <c r="X45" s="107"/>
      <c r="Y45" s="107"/>
      <c r="Z45" s="107"/>
      <c r="AA45" s="107"/>
    </row>
    <row r="46" spans="1:27" ht="15.95" customHeight="1" x14ac:dyDescent="0.3">
      <c r="F46" s="677" t="s">
        <v>1697</v>
      </c>
      <c r="G46" s="677" t="s">
        <v>457</v>
      </c>
      <c r="P46" s="133"/>
    </row>
    <row r="47" spans="1:27" ht="30.6" customHeight="1" x14ac:dyDescent="0.3"/>
    <row r="49" spans="2:2" ht="15.95" customHeight="1" x14ac:dyDescent="0.3">
      <c r="B49" s="268"/>
    </row>
  </sheetData>
  <sheetProtection algorithmName="SHA-512" hashValue="MVoirpxN8LSMTJqe3ATn9CDUCm4R/5xaUu1eQN0HGEnVOHm2PMyCy+vA02quZEenuRHQ3Yvw3h0KLlYqvDycJA==" saltValue="ef9r9k4dgSU0ic34Rf7r/A==" spinCount="100000" sheet="1" objects="1" scenarios="1" selectLockedCells="1"/>
  <protectedRanges>
    <protectedRange sqref="F6:G44" name="범위1"/>
  </protectedRanges>
  <dataConsolidate/>
  <mergeCells count="20">
    <mergeCell ref="J45:L45"/>
    <mergeCell ref="B1:M1"/>
    <mergeCell ref="B6:B44"/>
    <mergeCell ref="M6:M44"/>
    <mergeCell ref="C3:D4"/>
    <mergeCell ref="C42:C44"/>
    <mergeCell ref="N6:N44"/>
    <mergeCell ref="O6:O44"/>
    <mergeCell ref="P6:P44"/>
    <mergeCell ref="J3:L3"/>
    <mergeCell ref="M3:M4"/>
    <mergeCell ref="Q3:R3"/>
    <mergeCell ref="S3:S4"/>
    <mergeCell ref="T3:U3"/>
    <mergeCell ref="B3:B5"/>
    <mergeCell ref="E3:E4"/>
    <mergeCell ref="F3:G3"/>
    <mergeCell ref="H3:H4"/>
    <mergeCell ref="I3:I4"/>
    <mergeCell ref="L4:L5"/>
  </mergeCells>
  <phoneticPr fontId="3" type="noConversion"/>
  <dataValidations count="5">
    <dataValidation type="date" allowBlank="1" showInputMessage="1" showErrorMessage="1" sqref="F6 G6" xr:uid="{00000000-0002-0000-0400-000000000000}">
      <formula1>34759</formula1>
      <formula2>35854</formula2>
    </dataValidation>
    <dataValidation type="date" allowBlank="1" showInputMessage="1" showErrorMessage="1" sqref="F16:F21 G16:G21" xr:uid="{00000000-0002-0000-0400-000001000000}">
      <formula1>41640</formula1>
      <formula2>42369</formula2>
    </dataValidation>
    <dataValidation type="date" allowBlank="1" showInputMessage="1" showErrorMessage="1" sqref="F7:F9 G7:G9" xr:uid="{00000000-0002-0000-0400-000003000000}">
      <formula1>35855</formula1>
      <formula2>39813</formula2>
    </dataValidation>
    <dataValidation type="date" allowBlank="1" showInputMessage="1" showErrorMessage="1" sqref="F10:F15 G10:G15" xr:uid="{00000000-0002-0000-0400-000004000000}">
      <formula1>39814</formula1>
      <formula2>41639</formula2>
    </dataValidation>
    <dataValidation type="date" allowBlank="1" showInputMessage="1" showErrorMessage="1" sqref="G22:G41 F22:F41" xr:uid="{366DD9DC-FAFE-45DD-98E3-DF46F2BA74F2}">
      <formula1>42370</formula1>
      <formula2>45351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0" orientation="portrait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00000000-0002-0000-0400-000005000000}">
          <x14:formula1>
            <xm:f>'연도별 학교 농어촌 급지'!$F$2:$F$160</xm:f>
          </x14:formula1>
          <xm:sqref>D18:D19</xm:sqref>
        </x14:dataValidation>
        <x14:dataValidation type="list" allowBlank="1" showInputMessage="1" showErrorMessage="1" xr:uid="{00000000-0002-0000-0400-000006000000}">
          <x14:formula1>
            <xm:f>'연도별 학교 농어촌 급지'!$E$2:$E$39</xm:f>
          </x14:formula1>
          <xm:sqref>D16:D17</xm:sqref>
        </x14:dataValidation>
        <x14:dataValidation type="list" allowBlank="1" showInputMessage="1" showErrorMessage="1" xr:uid="{00000000-0002-0000-0400-000007000000}">
          <x14:formula1>
            <xm:f>'연도별 학교 농어촌 급지'!$G$2:$G$77</xm:f>
          </x14:formula1>
          <xm:sqref>D20:D21</xm:sqref>
        </x14:dataValidation>
        <x14:dataValidation type="list" allowBlank="1" showInputMessage="1" showErrorMessage="1" xr:uid="{00000000-0002-0000-0400-000008000000}">
          <x14:formula1>
            <xm:f>'연도별 학교 농어촌 급지'!$H$2:$H$40</xm:f>
          </x14:formula1>
          <xm:sqref>D22:D26</xm:sqref>
        </x14:dataValidation>
        <x14:dataValidation type="list" allowBlank="1" showInputMessage="1" showErrorMessage="1" xr:uid="{00000000-0002-0000-0400-000009000000}">
          <x14:formula1>
            <xm:f>'연도별 학교 농어촌 급지'!$I$2:$I$165</xm:f>
          </x14:formula1>
          <xm:sqref>D27:D31</xm:sqref>
        </x14:dataValidation>
        <x14:dataValidation type="list" allowBlank="1" showInputMessage="1" showErrorMessage="1" xr:uid="{00000000-0002-0000-0400-00000A000000}">
          <x14:formula1>
            <xm:f>'연도별 학교 농어촌 급지'!$K$2:$K$71</xm:f>
          </x14:formula1>
          <xm:sqref>D37:D41</xm:sqref>
        </x14:dataValidation>
        <x14:dataValidation type="list" allowBlank="1" showInputMessage="1" showErrorMessage="1" xr:uid="{00000000-0002-0000-0400-00000B000000}">
          <x14:formula1>
            <xm:f>'연도별 학교 농어촌 급지'!$A$2:$A$128</xm:f>
          </x14:formula1>
          <xm:sqref>D6</xm:sqref>
        </x14:dataValidation>
        <x14:dataValidation type="list" allowBlank="1" showInputMessage="1" showErrorMessage="1" xr:uid="{00000000-0002-0000-0400-00000C000000}">
          <x14:formula1>
            <xm:f>'연도별 학교 농어촌 급지'!$B$2:$B$213</xm:f>
          </x14:formula1>
          <xm:sqref>D7:D9</xm:sqref>
        </x14:dataValidation>
        <x14:dataValidation type="list" allowBlank="1" showInputMessage="1" showErrorMessage="1" xr:uid="{00000000-0002-0000-0400-00000D000000}">
          <x14:formula1>
            <xm:f>'연도별 학교 농어촌 급지'!$C$2:$C$192</xm:f>
          </x14:formula1>
          <xm:sqref>D10:D12</xm:sqref>
        </x14:dataValidation>
        <x14:dataValidation type="list" allowBlank="1" showInputMessage="1" showErrorMessage="1" xr:uid="{00000000-0002-0000-0400-00000E000000}">
          <x14:formula1>
            <xm:f>'연도별 학교 농어촌 급지'!$D$2:$D$59</xm:f>
          </x14:formula1>
          <xm:sqref>D13:D15</xm:sqref>
        </x14:dataValidation>
        <x14:dataValidation type="list" allowBlank="1" showInputMessage="1" showErrorMessage="1" xr:uid="{00000000-0002-0000-0400-00000F000000}">
          <x14:formula1>
            <xm:f>'연도별 학교 농어촌 급지'!$J$2:$J$83</xm:f>
          </x14:formula1>
          <xm:sqref>D32:D36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>
    <tabColor rgb="FFFF0000"/>
  </sheetPr>
  <dimension ref="A1:Z8"/>
  <sheetViews>
    <sheetView showGridLines="0" topLeftCell="A4" workbookViewId="0">
      <selection activeCell="R19" sqref="R19"/>
    </sheetView>
  </sheetViews>
  <sheetFormatPr defaultColWidth="9" defaultRowHeight="24" customHeight="1" x14ac:dyDescent="0.3"/>
  <cols>
    <col min="1" max="3" width="5.625" style="6" customWidth="1"/>
    <col min="4" max="4" width="12.875" style="6" customWidth="1"/>
    <col min="5" max="5" width="7" style="6" customWidth="1"/>
    <col min="6" max="6" width="6.375" style="6" bestFit="1" customWidth="1"/>
    <col min="7" max="7" width="7.625" style="6" customWidth="1"/>
    <col min="8" max="8" width="7.625" style="6" bestFit="1" customWidth="1"/>
    <col min="9" max="9" width="6.5" style="6" customWidth="1"/>
    <col min="10" max="10" width="6.625" style="6" customWidth="1"/>
    <col min="11" max="11" width="8.125" style="6" customWidth="1"/>
    <col min="12" max="12" width="6.625" style="6" customWidth="1"/>
    <col min="13" max="13" width="3.125" style="481" customWidth="1"/>
    <col min="14" max="14" width="8.5" style="6" bestFit="1" customWidth="1"/>
    <col min="15" max="15" width="5.125" style="6" customWidth="1"/>
    <col min="16" max="16" width="11" style="6" bestFit="1" customWidth="1"/>
    <col min="17" max="17" width="5" style="6" bestFit="1" customWidth="1"/>
    <col min="18" max="18" width="10.125" style="6" bestFit="1" customWidth="1"/>
    <col min="19" max="19" width="10.375" style="6" bestFit="1" customWidth="1"/>
    <col min="20" max="20" width="6.625" style="6" bestFit="1" customWidth="1"/>
    <col min="21" max="21" width="6.625" style="6" customWidth="1"/>
    <col min="22" max="22" width="10.125" style="6" bestFit="1" customWidth="1"/>
    <col min="23" max="23" width="12.125" style="6" bestFit="1" customWidth="1"/>
    <col min="24" max="24" width="13.125" style="6" bestFit="1" customWidth="1"/>
    <col min="25" max="25" width="8.875" style="6" customWidth="1"/>
    <col min="26" max="26" width="9" style="6"/>
    <col min="27" max="16384" width="9" style="33"/>
  </cols>
  <sheetData>
    <row r="1" spans="1:25" ht="24" customHeight="1" x14ac:dyDescent="0.3">
      <c r="A1" s="19" t="s">
        <v>927</v>
      </c>
      <c r="C1" s="20" t="s">
        <v>464</v>
      </c>
      <c r="M1" s="481" t="s">
        <v>970</v>
      </c>
      <c r="S1" s="416"/>
    </row>
    <row r="2" spans="1:25" ht="24" customHeight="1" x14ac:dyDescent="0.3">
      <c r="A2" s="999" t="str">
        <f>입력!C13 &amp; 입력!C14&amp;"명부"</f>
        <v>교감자격연수대상후보자명부</v>
      </c>
      <c r="B2" s="999"/>
      <c r="C2" s="999"/>
      <c r="D2" s="999"/>
      <c r="E2" s="999"/>
      <c r="F2" s="999"/>
      <c r="G2" s="999"/>
      <c r="H2" s="999"/>
      <c r="I2" s="999"/>
      <c r="J2" s="999"/>
      <c r="K2" s="999"/>
      <c r="L2" s="999"/>
      <c r="M2" s="481" t="s">
        <v>971</v>
      </c>
      <c r="N2" s="21"/>
      <c r="O2" s="21"/>
      <c r="S2" s="417" t="s">
        <v>939</v>
      </c>
    </row>
    <row r="3" spans="1:25" ht="24" customHeight="1" thickBot="1" x14ac:dyDescent="0.35">
      <c r="A3" s="1000"/>
      <c r="B3" s="1000"/>
      <c r="C3" s="1000"/>
      <c r="D3" s="1000"/>
      <c r="E3" s="1000"/>
      <c r="F3" s="1000"/>
      <c r="G3" s="1000"/>
      <c r="H3" s="1000"/>
      <c r="I3" s="1000"/>
      <c r="J3" s="1000"/>
      <c r="K3" s="1000"/>
      <c r="L3" s="1000"/>
      <c r="M3" s="482" t="s">
        <v>967</v>
      </c>
      <c r="N3" s="21"/>
      <c r="O3" s="21"/>
      <c r="S3" s="418">
        <f>입력!$C$11</f>
        <v>45351</v>
      </c>
    </row>
    <row r="4" spans="1:25" ht="24" customHeight="1" x14ac:dyDescent="0.3">
      <c r="A4" s="1001" t="s">
        <v>459</v>
      </c>
      <c r="B4" s="1002"/>
      <c r="C4" s="1002"/>
      <c r="D4" s="1002" t="s">
        <v>24</v>
      </c>
      <c r="E4" s="1002" t="s">
        <v>2</v>
      </c>
      <c r="F4" s="1002" t="s">
        <v>22</v>
      </c>
      <c r="G4" s="1002" t="s">
        <v>11</v>
      </c>
      <c r="H4" s="1002"/>
      <c r="I4" s="1002"/>
      <c r="J4" s="1002"/>
      <c r="K4" s="1002"/>
      <c r="L4" s="1004" t="s">
        <v>81</v>
      </c>
      <c r="M4" s="483" t="s">
        <v>968</v>
      </c>
      <c r="N4" s="1007" t="s">
        <v>488</v>
      </c>
      <c r="O4" s="1008" t="s">
        <v>1780</v>
      </c>
      <c r="P4" s="1006" t="s">
        <v>467</v>
      </c>
      <c r="Q4" s="1007" t="s">
        <v>470</v>
      </c>
      <c r="R4" s="1007" t="s">
        <v>570</v>
      </c>
      <c r="S4" s="1007" t="s">
        <v>569</v>
      </c>
      <c r="T4" s="1007" t="s">
        <v>568</v>
      </c>
      <c r="U4" s="1008" t="s">
        <v>571</v>
      </c>
      <c r="V4" s="1008" t="s">
        <v>572</v>
      </c>
      <c r="W4" s="1006" t="s">
        <v>468</v>
      </c>
      <c r="X4" s="1006" t="s">
        <v>469</v>
      </c>
      <c r="Y4" s="1007" t="s">
        <v>1782</v>
      </c>
    </row>
    <row r="5" spans="1:25" x14ac:dyDescent="0.3">
      <c r="A5" s="22" t="s">
        <v>460</v>
      </c>
      <c r="B5" s="23" t="s">
        <v>461</v>
      </c>
      <c r="C5" s="23" t="s">
        <v>461</v>
      </c>
      <c r="D5" s="1003"/>
      <c r="E5" s="1003"/>
      <c r="F5" s="1003"/>
      <c r="G5" s="23" t="s">
        <v>462</v>
      </c>
      <c r="H5" s="24" t="s">
        <v>486</v>
      </c>
      <c r="I5" s="24" t="s">
        <v>487</v>
      </c>
      <c r="J5" s="23" t="s">
        <v>48</v>
      </c>
      <c r="K5" s="23" t="s">
        <v>14</v>
      </c>
      <c r="L5" s="1005"/>
      <c r="M5" s="483" t="s">
        <v>969</v>
      </c>
      <c r="N5" s="1006"/>
      <c r="O5" s="1009"/>
      <c r="P5" s="1006"/>
      <c r="Q5" s="1006"/>
      <c r="R5" s="1007"/>
      <c r="S5" s="1007"/>
      <c r="T5" s="1006"/>
      <c r="U5" s="1009"/>
      <c r="V5" s="1009"/>
      <c r="W5" s="1006"/>
      <c r="X5" s="1006"/>
      <c r="Y5" s="1006"/>
    </row>
    <row r="6" spans="1:25" ht="24" customHeight="1" thickBot="1" x14ac:dyDescent="0.35">
      <c r="A6" s="25"/>
      <c r="B6" s="26"/>
      <c r="C6" s="26"/>
      <c r="D6" s="27" t="str">
        <f>입력!$D$20</f>
        <v>경원중</v>
      </c>
      <c r="E6" s="26" t="str">
        <f>입력!$D$21</f>
        <v>교사</v>
      </c>
      <c r="F6" s="26" t="str">
        <f>입력!$D$22</f>
        <v>홍길동</v>
      </c>
      <c r="G6" s="28">
        <f>종합!$H$19</f>
        <v>0</v>
      </c>
      <c r="H6" s="28">
        <f>종합!$H$14</f>
        <v>99.8</v>
      </c>
      <c r="I6" s="28">
        <f>종합!$H$21</f>
        <v>0</v>
      </c>
      <c r="J6" s="28">
        <f>종합!$H$24</f>
        <v>0</v>
      </c>
      <c r="K6" s="28">
        <f>종합!$H$26</f>
        <v>99.8</v>
      </c>
      <c r="L6" s="29"/>
      <c r="M6" s="483"/>
      <c r="N6" s="386">
        <f>입력!$D$24</f>
        <v>700101</v>
      </c>
      <c r="O6" s="386" t="str">
        <f>입력!D25</f>
        <v>남</v>
      </c>
      <c r="P6" s="30" t="str">
        <f>입력!$D$26</f>
        <v>한국대(석사)</v>
      </c>
      <c r="Q6" s="31" t="str">
        <f>입력!$D$27</f>
        <v>국어</v>
      </c>
      <c r="R6" s="31">
        <f>IF(ISBLANK(N6),"",1962+VALUE(LEFT(N6,2))+IF(VALUE(MID(N6,3,2))&gt;8,1,0)+IF(AND(2&lt;VALUE(MID(N6,3,2)),VALUE(MID(N6,3,2))&lt;9),0.08,0.02))</f>
        <v>2032.02</v>
      </c>
      <c r="S6" s="32">
        <f>IF(ISBLANK(N6),"",VALUE(LEFT(R6,4)) - YEAR($S$3) + IF(VALUE(RIGHT(R6,1))=8, 0.06, 0))</f>
        <v>8</v>
      </c>
      <c r="T6" s="32" t="str">
        <f>입력!$D$31</f>
        <v/>
      </c>
      <c r="U6" s="32" t="str">
        <f>입력!$D$28</f>
        <v>중등1정</v>
      </c>
      <c r="V6" s="387">
        <f>입력!$D$29</f>
        <v>42247</v>
      </c>
      <c r="W6" s="30">
        <f>입력!$D$32</f>
        <v>0</v>
      </c>
      <c r="X6" s="30">
        <f>입력!$D$33</f>
        <v>0</v>
      </c>
      <c r="Y6" s="30">
        <f>입력!$D$34</f>
        <v>0</v>
      </c>
    </row>
    <row r="8" spans="1:25" ht="24" customHeight="1" x14ac:dyDescent="0.3">
      <c r="S8" s="420">
        <v>42795</v>
      </c>
    </row>
  </sheetData>
  <sheetProtection algorithmName="SHA-512" hashValue="m/+DwgfD4PhggtyLVlj6n521/6KKjsWxDG553KcUuQVge4gvYbfLZlE66Gx7b25BNxG+yhEW5bZoPvtfQscY1g==" saltValue="JfnBGAnEl3dQ/KeYQAPgkQ==" spinCount="100000" sheet="1" objects="1" scenarios="1" selectLockedCells="1"/>
  <mergeCells count="19">
    <mergeCell ref="X4:X5"/>
    <mergeCell ref="Y4:Y5"/>
    <mergeCell ref="N4:N5"/>
    <mergeCell ref="P4:P5"/>
    <mergeCell ref="Q4:Q5"/>
    <mergeCell ref="T4:T5"/>
    <mergeCell ref="W4:W5"/>
    <mergeCell ref="S4:S5"/>
    <mergeCell ref="R4:R5"/>
    <mergeCell ref="U4:U5"/>
    <mergeCell ref="V4:V5"/>
    <mergeCell ref="O4:O5"/>
    <mergeCell ref="A2:L3"/>
    <mergeCell ref="A4:C4"/>
    <mergeCell ref="D4:D5"/>
    <mergeCell ref="E4:E5"/>
    <mergeCell ref="F4:F5"/>
    <mergeCell ref="G4:K4"/>
    <mergeCell ref="L4:L5"/>
  </mergeCells>
  <phoneticPr fontId="3" type="noConversion"/>
  <pageMargins left="0.24" right="0.23" top="0.74803149606299213" bottom="0.74803149606299213" header="0.31496062992125984" footer="0.31496062992125984"/>
  <pageSetup paperSize="9" orientation="landscape" r:id="rId1"/>
  <ignoredErrors>
    <ignoredError sqref="D6:K6 W6:Y6 P6:Q6 T6 N6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rgb="FF0000FF"/>
  </sheetPr>
  <dimension ref="A1:H30"/>
  <sheetViews>
    <sheetView showGridLines="0" showZeros="0" view="pageBreakPreview" zoomScaleNormal="100" zoomScaleSheetLayoutView="100" workbookViewId="0">
      <selection activeCell="A12" sqref="A12:H12"/>
    </sheetView>
  </sheetViews>
  <sheetFormatPr defaultColWidth="10.625" defaultRowHeight="24.2" customHeight="1" x14ac:dyDescent="0.3"/>
  <cols>
    <col min="1" max="6" width="10.625" style="4"/>
    <col min="7" max="7" width="10.625" style="4" customWidth="1"/>
    <col min="8" max="16384" width="10.625" style="4"/>
  </cols>
  <sheetData>
    <row r="1" spans="1:8" ht="24.2" customHeight="1" x14ac:dyDescent="0.3">
      <c r="A1" s="5" t="s">
        <v>922</v>
      </c>
    </row>
    <row r="2" spans="1:8" ht="24.2" customHeight="1" x14ac:dyDescent="0.3">
      <c r="A2" s="1010" t="s">
        <v>1784</v>
      </c>
      <c r="B2" s="1010"/>
      <c r="C2" s="1010"/>
      <c r="D2" s="1010"/>
      <c r="E2" s="1010"/>
      <c r="F2" s="1010"/>
      <c r="G2" s="1010"/>
      <c r="H2" s="1010"/>
    </row>
    <row r="3" spans="1:8" ht="24.2" customHeight="1" x14ac:dyDescent="0.3">
      <c r="A3" s="1011" t="s">
        <v>1786</v>
      </c>
      <c r="B3" s="1012"/>
      <c r="C3" s="1012"/>
      <c r="D3" s="1012"/>
      <c r="E3" s="1012"/>
      <c r="F3" s="1012"/>
      <c r="G3" s="1012"/>
      <c r="H3" s="1012"/>
    </row>
    <row r="4" spans="1:8" ht="24.2" customHeight="1" x14ac:dyDescent="0.3">
      <c r="A4" s="1025" t="str">
        <f>"( " &amp; 입력!$C$13 &amp; 입력!$C$14 &amp; " )"</f>
        <v>( 교감자격연수대상후보자 )</v>
      </c>
      <c r="B4" s="1025"/>
      <c r="C4" s="1025"/>
      <c r="D4" s="1025"/>
      <c r="E4" s="1025"/>
      <c r="F4" s="1025"/>
      <c r="G4" s="1025"/>
      <c r="H4" s="1025"/>
    </row>
    <row r="5" spans="1:8" ht="24.2" customHeight="1" x14ac:dyDescent="0.3">
      <c r="A5" s="1030" t="s">
        <v>382</v>
      </c>
      <c r="B5" s="1031"/>
      <c r="C5" s="1031"/>
      <c r="D5" s="1031"/>
      <c r="E5" s="1031"/>
      <c r="F5" s="1031"/>
      <c r="G5" s="1031"/>
      <c r="H5" s="1032"/>
    </row>
    <row r="6" spans="1:8" ht="24.2" customHeight="1" x14ac:dyDescent="0.3">
      <c r="A6" s="365" t="s">
        <v>0</v>
      </c>
      <c r="B6" s="1024" t="s">
        <v>1</v>
      </c>
      <c r="C6" s="1024"/>
      <c r="D6" s="366" t="s">
        <v>2</v>
      </c>
      <c r="E6" s="1024" t="s">
        <v>383</v>
      </c>
      <c r="F6" s="1024"/>
      <c r="G6" s="366" t="s">
        <v>946</v>
      </c>
      <c r="H6" s="367" t="s">
        <v>478</v>
      </c>
    </row>
    <row r="7" spans="1:8" ht="24.2" customHeight="1" x14ac:dyDescent="0.3">
      <c r="A7" s="95" t="str">
        <f>입력!$D$19</f>
        <v>중101</v>
      </c>
      <c r="B7" s="1022" t="str">
        <f>입력!$D$20</f>
        <v>경원중</v>
      </c>
      <c r="C7" s="1022"/>
      <c r="D7" s="93" t="str">
        <f>입력!$D$21</f>
        <v>교사</v>
      </c>
      <c r="E7" s="1022" t="str">
        <f>입력!$D$22</f>
        <v>홍길동</v>
      </c>
      <c r="F7" s="1022"/>
      <c r="G7" s="93" t="str">
        <f>입력!$D$23</f>
        <v>洪吉童</v>
      </c>
      <c r="H7" s="368" t="s">
        <v>479</v>
      </c>
    </row>
    <row r="8" spans="1:8" ht="24.2" customHeight="1" x14ac:dyDescent="0.3">
      <c r="A8" s="365" t="s">
        <v>3</v>
      </c>
      <c r="B8" s="1024" t="s">
        <v>4</v>
      </c>
      <c r="C8" s="1024"/>
      <c r="D8" s="366" t="s">
        <v>5</v>
      </c>
      <c r="E8" s="1024" t="s">
        <v>537</v>
      </c>
      <c r="F8" s="1024"/>
      <c r="G8" s="366" t="s">
        <v>6</v>
      </c>
      <c r="H8" s="369" t="s">
        <v>7</v>
      </c>
    </row>
    <row r="9" spans="1:8" ht="24.2" customHeight="1" x14ac:dyDescent="0.3">
      <c r="A9" s="370">
        <f>입력!$D$24</f>
        <v>700101</v>
      </c>
      <c r="B9" s="1022" t="str">
        <f>입력!$D$26</f>
        <v>한국대(석사)</v>
      </c>
      <c r="C9" s="1022"/>
      <c r="D9" s="93" t="str">
        <f>입력!$D$27</f>
        <v>국어</v>
      </c>
      <c r="E9" s="1022" t="str">
        <f>입력!$D$28</f>
        <v>중등1정</v>
      </c>
      <c r="F9" s="1022"/>
      <c r="G9" s="404">
        <f>입력!$D$29</f>
        <v>42247</v>
      </c>
      <c r="H9" s="371" t="str">
        <f>입력!$D$31</f>
        <v/>
      </c>
    </row>
    <row r="10" spans="1:8" ht="24.2" customHeight="1" x14ac:dyDescent="0.3">
      <c r="A10" s="1023" t="s">
        <v>1101</v>
      </c>
      <c r="B10" s="1024"/>
      <c r="C10" s="1024" t="s">
        <v>8</v>
      </c>
      <c r="D10" s="1024"/>
      <c r="E10" s="1024"/>
      <c r="F10" s="1024" t="s">
        <v>9</v>
      </c>
      <c r="G10" s="1024"/>
      <c r="H10" s="1048"/>
    </row>
    <row r="11" spans="1:8" ht="24.2" customHeight="1" x14ac:dyDescent="0.3">
      <c r="A11" s="1026">
        <f>입력!$D$32</f>
        <v>0</v>
      </c>
      <c r="B11" s="1027"/>
      <c r="C11" s="1027">
        <f>입력!$D$33</f>
        <v>0</v>
      </c>
      <c r="D11" s="1027"/>
      <c r="E11" s="1027"/>
      <c r="F11" s="1027">
        <f>입력!$D$34</f>
        <v>0</v>
      </c>
      <c r="G11" s="1027"/>
      <c r="H11" s="1028"/>
    </row>
    <row r="12" spans="1:8" ht="24.2" customHeight="1" x14ac:dyDescent="0.3">
      <c r="A12" s="1030" t="s">
        <v>384</v>
      </c>
      <c r="B12" s="1031"/>
      <c r="C12" s="1031"/>
      <c r="D12" s="1031"/>
      <c r="E12" s="1031"/>
      <c r="F12" s="1031"/>
      <c r="G12" s="1031"/>
      <c r="H12" s="1032"/>
    </row>
    <row r="13" spans="1:8" ht="24.2" customHeight="1" x14ac:dyDescent="0.3">
      <c r="A13" s="372" t="s">
        <v>481</v>
      </c>
      <c r="B13" s="366" t="s">
        <v>10</v>
      </c>
      <c r="C13" s="1024" t="s">
        <v>505</v>
      </c>
      <c r="D13" s="1024"/>
      <c r="E13" s="366" t="s">
        <v>11</v>
      </c>
      <c r="F13" s="366" t="s">
        <v>12</v>
      </c>
      <c r="G13" s="366" t="s">
        <v>13</v>
      </c>
      <c r="H13" s="369" t="s">
        <v>14</v>
      </c>
    </row>
    <row r="14" spans="1:8" ht="24.2" customHeight="1" x14ac:dyDescent="0.3">
      <c r="A14" s="1019" t="s">
        <v>411</v>
      </c>
      <c r="B14" s="92">
        <f>입력!B46</f>
        <v>2023</v>
      </c>
      <c r="C14" s="1018" t="str">
        <f>입력!C46</f>
        <v>경원중학교</v>
      </c>
      <c r="D14" s="1018"/>
      <c r="E14" s="373">
        <f>입력!D46</f>
        <v>99.8</v>
      </c>
      <c r="F14" s="92" t="str">
        <f>입력!E46</f>
        <v>34%</v>
      </c>
      <c r="G14" s="605">
        <f>입력!F46</f>
        <v>33.932000000000002</v>
      </c>
      <c r="H14" s="1017">
        <f>입력!G46</f>
        <v>99.8</v>
      </c>
    </row>
    <row r="15" spans="1:8" ht="24.2" customHeight="1" x14ac:dyDescent="0.3">
      <c r="A15" s="1020"/>
      <c r="B15" s="92">
        <f>입력!B47</f>
        <v>2022</v>
      </c>
      <c r="C15" s="1018" t="str">
        <f>입력!C47</f>
        <v>경원중학교</v>
      </c>
      <c r="D15" s="1018"/>
      <c r="E15" s="373">
        <f>입력!D47</f>
        <v>99.8</v>
      </c>
      <c r="F15" s="92" t="str">
        <f>입력!E47</f>
        <v>33%</v>
      </c>
      <c r="G15" s="605">
        <f>입력!F47</f>
        <v>32.933999999999997</v>
      </c>
      <c r="H15" s="1017"/>
    </row>
    <row r="16" spans="1:8" ht="24.2" customHeight="1" x14ac:dyDescent="0.3">
      <c r="A16" s="1020"/>
      <c r="B16" s="92">
        <f>입력!B48</f>
        <v>2021</v>
      </c>
      <c r="C16" s="1018" t="str">
        <f>입력!C48</f>
        <v>경원중학교</v>
      </c>
      <c r="D16" s="1018"/>
      <c r="E16" s="373">
        <f>입력!D48</f>
        <v>99.8</v>
      </c>
      <c r="F16" s="92" t="str">
        <f>입력!E48</f>
        <v>33%</v>
      </c>
      <c r="G16" s="605">
        <f>입력!F48</f>
        <v>32.933999999999997</v>
      </c>
      <c r="H16" s="1017"/>
    </row>
    <row r="17" spans="1:8" ht="24.2" customHeight="1" x14ac:dyDescent="0.3">
      <c r="A17" s="1020"/>
      <c r="B17" s="92">
        <f>입력!B49</f>
        <v>2020</v>
      </c>
      <c r="C17" s="1018">
        <f>입력!C49</f>
        <v>0</v>
      </c>
      <c r="D17" s="1018"/>
      <c r="E17" s="373">
        <f>입력!D49</f>
        <v>0</v>
      </c>
      <c r="F17" s="92" t="str">
        <f>입력!E49</f>
        <v>-</v>
      </c>
      <c r="G17" s="605" t="str">
        <f>입력!F49</f>
        <v>-</v>
      </c>
      <c r="H17" s="1017"/>
    </row>
    <row r="18" spans="1:8" ht="24.2" customHeight="1" x14ac:dyDescent="0.3">
      <c r="A18" s="1021"/>
      <c r="B18" s="92">
        <f>입력!B50</f>
        <v>2019</v>
      </c>
      <c r="C18" s="1018">
        <f>입력!C50</f>
        <v>0</v>
      </c>
      <c r="D18" s="1018"/>
      <c r="E18" s="373">
        <f>입력!D50</f>
        <v>0</v>
      </c>
      <c r="F18" s="92" t="str">
        <f>입력!E50</f>
        <v>-</v>
      </c>
      <c r="G18" s="605" t="str">
        <f>입력!F50</f>
        <v>-</v>
      </c>
      <c r="H18" s="1017"/>
    </row>
    <row r="19" spans="1:8" ht="24.2" customHeight="1" x14ac:dyDescent="0.3">
      <c r="A19" s="1015" t="s">
        <v>482</v>
      </c>
      <c r="B19" s="1016"/>
      <c r="C19" s="1018" t="s">
        <v>15</v>
      </c>
      <c r="D19" s="1018"/>
      <c r="E19" s="373">
        <f>경력!G15</f>
        <v>0</v>
      </c>
      <c r="F19" s="1013" t="s">
        <v>480</v>
      </c>
      <c r="G19" s="1014"/>
      <c r="H19" s="1017">
        <f>SUM(E19:E20)</f>
        <v>0</v>
      </c>
    </row>
    <row r="20" spans="1:8" ht="24.2" customHeight="1" x14ac:dyDescent="0.3">
      <c r="A20" s="1015"/>
      <c r="B20" s="1016"/>
      <c r="C20" s="1018" t="s">
        <v>16</v>
      </c>
      <c r="D20" s="1018"/>
      <c r="E20" s="373">
        <f>경력!G24</f>
        <v>0</v>
      </c>
      <c r="F20" s="1013" t="s">
        <v>480</v>
      </c>
      <c r="G20" s="1014"/>
      <c r="H20" s="1017"/>
    </row>
    <row r="21" spans="1:8" ht="24.2" customHeight="1" x14ac:dyDescent="0.3">
      <c r="A21" s="1015" t="s">
        <v>483</v>
      </c>
      <c r="B21" s="1016"/>
      <c r="C21" s="1018" t="s">
        <v>17</v>
      </c>
      <c r="D21" s="1018"/>
      <c r="E21" s="373" t="str">
        <f>연수성적!J9</f>
        <v/>
      </c>
      <c r="F21" s="1013" t="s">
        <v>480</v>
      </c>
      <c r="G21" s="1014"/>
      <c r="H21" s="1017">
        <f>SUM(E21:E23)</f>
        <v>0</v>
      </c>
    </row>
    <row r="22" spans="1:8" ht="24.2" customHeight="1" x14ac:dyDescent="0.3">
      <c r="A22" s="1015"/>
      <c r="B22" s="1016"/>
      <c r="C22" s="1018" t="s">
        <v>18</v>
      </c>
      <c r="D22" s="1018"/>
      <c r="E22" s="373">
        <f>입력!G86</f>
        <v>0</v>
      </c>
      <c r="F22" s="1013" t="s">
        <v>480</v>
      </c>
      <c r="G22" s="1014"/>
      <c r="H22" s="1017"/>
    </row>
    <row r="23" spans="1:8" ht="24.2" customHeight="1" x14ac:dyDescent="0.3">
      <c r="A23" s="1015"/>
      <c r="B23" s="1016"/>
      <c r="C23" s="1018" t="s">
        <v>449</v>
      </c>
      <c r="D23" s="1018"/>
      <c r="E23" s="373">
        <f>IF(입력!K100&gt;3,3,입력!K100)</f>
        <v>0</v>
      </c>
      <c r="F23" s="1013" t="s">
        <v>480</v>
      </c>
      <c r="G23" s="1014"/>
      <c r="H23" s="1017"/>
    </row>
    <row r="24" spans="1:8" ht="24.2" customHeight="1" x14ac:dyDescent="0.3">
      <c r="A24" s="1042" t="s">
        <v>484</v>
      </c>
      <c r="B24" s="1043"/>
      <c r="C24" s="1041" t="s">
        <v>558</v>
      </c>
      <c r="D24" s="1041"/>
      <c r="E24" s="92">
        <f>경력가산점!$I$59</f>
        <v>0</v>
      </c>
      <c r="F24" s="1018" t="s">
        <v>557</v>
      </c>
      <c r="G24" s="1018"/>
      <c r="H24" s="1046">
        <f>SUM(E24:E25)</f>
        <v>0</v>
      </c>
    </row>
    <row r="25" spans="1:8" ht="24.2" customHeight="1" x14ac:dyDescent="0.3">
      <c r="A25" s="1044"/>
      <c r="B25" s="1045"/>
      <c r="C25" s="1039" t="s">
        <v>559</v>
      </c>
      <c r="D25" s="1039"/>
      <c r="E25" s="374">
        <f>실적가산점!$G$54</f>
        <v>0</v>
      </c>
      <c r="F25" s="1040" t="s">
        <v>560</v>
      </c>
      <c r="G25" s="1040"/>
      <c r="H25" s="1047"/>
    </row>
    <row r="26" spans="1:8" ht="24.2" customHeight="1" x14ac:dyDescent="0.3">
      <c r="A26" s="1033" t="s">
        <v>536</v>
      </c>
      <c r="B26" s="1034"/>
      <c r="C26" s="1035" t="s">
        <v>480</v>
      </c>
      <c r="D26" s="1036"/>
      <c r="E26" s="1036"/>
      <c r="F26" s="1036"/>
      <c r="G26" s="1037"/>
      <c r="H26" s="375">
        <f>SUM(H14:H24)</f>
        <v>99.8</v>
      </c>
    </row>
    <row r="27" spans="1:8" ht="24.2" customHeight="1" x14ac:dyDescent="0.3">
      <c r="A27" s="1030" t="s">
        <v>385</v>
      </c>
      <c r="B27" s="1031"/>
      <c r="C27" s="1031"/>
      <c r="D27" s="1031"/>
      <c r="E27" s="1031"/>
      <c r="F27" s="1031"/>
      <c r="G27" s="1031"/>
      <c r="H27" s="1032"/>
    </row>
    <row r="28" spans="1:8" ht="24.2" customHeight="1" x14ac:dyDescent="0.3">
      <c r="A28" s="80" t="s">
        <v>19</v>
      </c>
      <c r="B28" s="1029" t="s">
        <v>388</v>
      </c>
      <c r="C28" s="1029"/>
      <c r="D28" s="1029" t="s">
        <v>389</v>
      </c>
      <c r="E28" s="1029"/>
      <c r="F28" s="1029" t="s">
        <v>392</v>
      </c>
      <c r="G28" s="1029"/>
      <c r="H28" s="376" t="s">
        <v>390</v>
      </c>
    </row>
    <row r="29" spans="1:8" ht="24.2" customHeight="1" x14ac:dyDescent="0.3">
      <c r="A29" s="94" t="s">
        <v>386</v>
      </c>
      <c r="B29" s="1018" t="str">
        <f>입력!$D$35</f>
        <v>경원중학교</v>
      </c>
      <c r="C29" s="1018"/>
      <c r="D29" s="1018" t="str">
        <f>입력!$D$36</f>
        <v>교감</v>
      </c>
      <c r="E29" s="1018"/>
      <c r="F29" s="1018" t="str">
        <f>입력!$D$37</f>
        <v>김교감</v>
      </c>
      <c r="G29" s="1018"/>
      <c r="H29" s="377" t="s">
        <v>391</v>
      </c>
    </row>
    <row r="30" spans="1:8" ht="24.2" customHeight="1" x14ac:dyDescent="0.3">
      <c r="A30" s="378" t="s">
        <v>387</v>
      </c>
      <c r="B30" s="1038" t="str">
        <f>입력!$D$38</f>
        <v>경원중학교</v>
      </c>
      <c r="C30" s="1038"/>
      <c r="D30" s="1038" t="str">
        <f>입력!$D$39</f>
        <v>교장</v>
      </c>
      <c r="E30" s="1038"/>
      <c r="F30" s="1038" t="str">
        <f>입력!$D$40</f>
        <v>이교장</v>
      </c>
      <c r="G30" s="1038"/>
      <c r="H30" s="379" t="s">
        <v>391</v>
      </c>
    </row>
  </sheetData>
  <sheetProtection algorithmName="SHA-512" hashValue="XVntpuGChfDM5DfSlI9DlZTC/FEdxfwNKqZbv8nCG7v6JO5MAkJF+05o5vk2keG1xk2d0QZpg+fZDRTtYntuoQ==" saltValue="Vxvj1vILdWH132KroBd+ow==" spinCount="100000" sheet="1" objects="1" scenarios="1" selectLockedCells="1"/>
  <mergeCells count="59">
    <mergeCell ref="A5:H5"/>
    <mergeCell ref="B6:C6"/>
    <mergeCell ref="E6:F6"/>
    <mergeCell ref="F24:G24"/>
    <mergeCell ref="C24:D24"/>
    <mergeCell ref="A24:B25"/>
    <mergeCell ref="H24:H25"/>
    <mergeCell ref="C10:E10"/>
    <mergeCell ref="F10:H10"/>
    <mergeCell ref="H14:H18"/>
    <mergeCell ref="C15:D15"/>
    <mergeCell ref="C16:D16"/>
    <mergeCell ref="C17:D17"/>
    <mergeCell ref="C18:D18"/>
    <mergeCell ref="A26:B26"/>
    <mergeCell ref="C26:G26"/>
    <mergeCell ref="H21:H23"/>
    <mergeCell ref="F22:G22"/>
    <mergeCell ref="F30:G30"/>
    <mergeCell ref="F29:G29"/>
    <mergeCell ref="F28:G28"/>
    <mergeCell ref="C25:D25"/>
    <mergeCell ref="F25:G25"/>
    <mergeCell ref="B30:C30"/>
    <mergeCell ref="B29:C29"/>
    <mergeCell ref="B28:C28"/>
    <mergeCell ref="D30:E30"/>
    <mergeCell ref="A4:H4"/>
    <mergeCell ref="A11:B11"/>
    <mergeCell ref="C11:E11"/>
    <mergeCell ref="F11:H11"/>
    <mergeCell ref="D29:E29"/>
    <mergeCell ref="D28:E28"/>
    <mergeCell ref="B7:C7"/>
    <mergeCell ref="E7:F7"/>
    <mergeCell ref="B8:C8"/>
    <mergeCell ref="E8:F8"/>
    <mergeCell ref="A21:B23"/>
    <mergeCell ref="F21:G21"/>
    <mergeCell ref="A12:H12"/>
    <mergeCell ref="C13:D13"/>
    <mergeCell ref="C14:D14"/>
    <mergeCell ref="A27:H27"/>
    <mergeCell ref="A2:H2"/>
    <mergeCell ref="A3:H3"/>
    <mergeCell ref="F23:G23"/>
    <mergeCell ref="A19:B20"/>
    <mergeCell ref="F19:G19"/>
    <mergeCell ref="H19:H20"/>
    <mergeCell ref="F20:G20"/>
    <mergeCell ref="C22:D22"/>
    <mergeCell ref="C21:D21"/>
    <mergeCell ref="C20:D20"/>
    <mergeCell ref="C19:D19"/>
    <mergeCell ref="C23:D23"/>
    <mergeCell ref="A14:A18"/>
    <mergeCell ref="B9:C9"/>
    <mergeCell ref="E9:F9"/>
    <mergeCell ref="A10:B10"/>
  </mergeCells>
  <phoneticPr fontId="3" type="noConversion"/>
  <printOptions horizontalCentered="1"/>
  <pageMargins left="0.39370078740157483" right="0.39370078740157483" top="0.78740157480314965" bottom="0.39370078740157483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">
    <tabColor rgb="FF0000FF"/>
  </sheetPr>
  <dimension ref="A1:G29"/>
  <sheetViews>
    <sheetView showGridLines="0" showZeros="0" view="pageBreakPreview" zoomScaleNormal="100" zoomScaleSheetLayoutView="100" workbookViewId="0">
      <selection activeCell="A3" sqref="A3:G3"/>
    </sheetView>
  </sheetViews>
  <sheetFormatPr defaultColWidth="11.625" defaultRowHeight="24.6" customHeight="1" x14ac:dyDescent="0.3"/>
  <cols>
    <col min="1" max="1" width="7.875" style="4" customWidth="1"/>
    <col min="2" max="2" width="7.625" style="4" customWidth="1"/>
    <col min="3" max="3" width="20" style="4" customWidth="1"/>
    <col min="4" max="4" width="12" style="4" customWidth="1"/>
    <col min="5" max="16384" width="11.625" style="4"/>
  </cols>
  <sheetData>
    <row r="1" spans="1:7" ht="24.6" customHeight="1" x14ac:dyDescent="0.3">
      <c r="A1" s="34" t="s">
        <v>923</v>
      </c>
    </row>
    <row r="2" spans="1:7" ht="24.6" customHeight="1" x14ac:dyDescent="0.3">
      <c r="A2" s="1049" t="s">
        <v>1736</v>
      </c>
      <c r="B2" s="1049"/>
      <c r="C2" s="1049"/>
      <c r="D2" s="1049"/>
      <c r="E2" s="1049"/>
      <c r="F2" s="1049"/>
      <c r="G2" s="1049"/>
    </row>
    <row r="3" spans="1:7" ht="24.6" customHeight="1" x14ac:dyDescent="0.3">
      <c r="A3" s="1050" t="str">
        <f>종합!A3</f>
        <v>(2024.3.31.자 명부작성용)</v>
      </c>
      <c r="B3" s="1050"/>
      <c r="C3" s="1050"/>
      <c r="D3" s="1050"/>
      <c r="E3" s="1050"/>
      <c r="F3" s="1050"/>
      <c r="G3" s="1050"/>
    </row>
    <row r="4" spans="1:7" ht="24.6" customHeight="1" x14ac:dyDescent="0.3">
      <c r="A4" s="1053" t="s">
        <v>382</v>
      </c>
      <c r="B4" s="1054"/>
      <c r="C4" s="1054"/>
      <c r="D4" s="1054"/>
      <c r="E4" s="1054"/>
      <c r="F4" s="1054"/>
      <c r="G4" s="1055"/>
    </row>
    <row r="5" spans="1:7" ht="24.6" customHeight="1" x14ac:dyDescent="0.3">
      <c r="A5" s="1051" t="s">
        <v>24</v>
      </c>
      <c r="B5" s="1052"/>
      <c r="C5" s="1052"/>
      <c r="D5" s="10" t="s">
        <v>2</v>
      </c>
      <c r="E5" s="1052" t="s">
        <v>22</v>
      </c>
      <c r="F5" s="1052"/>
      <c r="G5" s="15" t="s">
        <v>23</v>
      </c>
    </row>
    <row r="6" spans="1:7" ht="24.6" customHeight="1" x14ac:dyDescent="0.3">
      <c r="A6" s="1065" t="str">
        <f>입력!$D$20</f>
        <v>경원중</v>
      </c>
      <c r="B6" s="1056"/>
      <c r="C6" s="1056"/>
      <c r="D6" s="17" t="str">
        <f>입력!$D$21</f>
        <v>교사</v>
      </c>
      <c r="E6" s="1056" t="str">
        <f>입력!$D$22</f>
        <v>홍길동</v>
      </c>
      <c r="F6" s="1056"/>
      <c r="G6" s="18" t="s">
        <v>396</v>
      </c>
    </row>
    <row r="7" spans="1:7" ht="24.6" customHeight="1" x14ac:dyDescent="0.3">
      <c r="A7" s="1053" t="s">
        <v>1691</v>
      </c>
      <c r="B7" s="1054"/>
      <c r="C7" s="1054"/>
      <c r="D7" s="1054"/>
      <c r="E7" s="1054"/>
      <c r="F7" s="1054"/>
      <c r="G7" s="1055"/>
    </row>
    <row r="8" spans="1:7" ht="24.6" customHeight="1" x14ac:dyDescent="0.3">
      <c r="A8" s="1051" t="s">
        <v>25</v>
      </c>
      <c r="B8" s="1052"/>
      <c r="C8" s="10" t="s">
        <v>26</v>
      </c>
      <c r="D8" s="10" t="s">
        <v>27</v>
      </c>
      <c r="E8" s="10" t="s">
        <v>65</v>
      </c>
      <c r="F8" s="10" t="s">
        <v>11</v>
      </c>
      <c r="G8" s="15" t="s">
        <v>14</v>
      </c>
    </row>
    <row r="9" spans="1:7" ht="24.6" customHeight="1" x14ac:dyDescent="0.3">
      <c r="A9" s="1064" t="s">
        <v>398</v>
      </c>
      <c r="B9" s="1058" t="s">
        <v>28</v>
      </c>
      <c r="C9" s="1061" t="str">
        <f>입력!D57 &amp; IF(ISBLANK(입력!D58),""," 등")</f>
        <v/>
      </c>
      <c r="D9" s="497">
        <f>MIN(입력!E57:E59)</f>
        <v>0</v>
      </c>
      <c r="E9" s="581">
        <f>SUM(입력!H57,입력!H58,입력!H59)</f>
        <v>0</v>
      </c>
      <c r="F9" s="602">
        <f>IF(E9&gt;=180,64,E9*0.3555)</f>
        <v>0</v>
      </c>
      <c r="G9" s="1062">
        <f>IF(E9&gt;=180,64,SUM(F9:F10))</f>
        <v>0</v>
      </c>
    </row>
    <row r="10" spans="1:7" ht="24.6" customHeight="1" x14ac:dyDescent="0.3">
      <c r="A10" s="1064"/>
      <c r="B10" s="1058"/>
      <c r="C10" s="1061"/>
      <c r="D10" s="497">
        <f>MAX(입력!F57:F59)</f>
        <v>0</v>
      </c>
      <c r="E10" s="581">
        <f>SUM(입력!I57,입력!I58,입력!I59)</f>
        <v>0</v>
      </c>
      <c r="F10" s="602">
        <f>E10*0.0118</f>
        <v>0</v>
      </c>
      <c r="G10" s="1062"/>
    </row>
    <row r="11" spans="1:7" ht="24.6" customHeight="1" x14ac:dyDescent="0.3">
      <c r="A11" s="1064"/>
      <c r="B11" s="1058" t="s">
        <v>29</v>
      </c>
      <c r="C11" s="1061" t="str">
        <f>입력!D60 &amp; IF(ISBLANK(입력!D61),""," 등")</f>
        <v/>
      </c>
      <c r="D11" s="497">
        <f>MIN(입력!E60:E61)</f>
        <v>0</v>
      </c>
      <c r="E11" s="581">
        <f>SUM(입력!H60,입력!H61)</f>
        <v>0</v>
      </c>
      <c r="F11" s="602">
        <f>E11*0.3333</f>
        <v>0</v>
      </c>
      <c r="G11" s="1062">
        <f>IF(E11&gt;=180,60,SUM(F11:F12))</f>
        <v>0</v>
      </c>
    </row>
    <row r="12" spans="1:7" ht="24.6" customHeight="1" x14ac:dyDescent="0.3">
      <c r="A12" s="1064"/>
      <c r="B12" s="1058"/>
      <c r="C12" s="1061"/>
      <c r="D12" s="497">
        <f>MAX(입력!F60:F61)</f>
        <v>0</v>
      </c>
      <c r="E12" s="581">
        <f>SUM(입력!I60,입력!I61)</f>
        <v>0</v>
      </c>
      <c r="F12" s="602">
        <f>E12*0.0111</f>
        <v>0</v>
      </c>
      <c r="G12" s="1062"/>
    </row>
    <row r="13" spans="1:7" ht="24.6" customHeight="1" x14ac:dyDescent="0.3">
      <c r="A13" s="1064"/>
      <c r="B13" s="1058" t="s">
        <v>30</v>
      </c>
      <c r="C13" s="1061" t="str">
        <f>입력!D62 &amp; IF(ISBLANK(입력!D63),""," 등")</f>
        <v/>
      </c>
      <c r="D13" s="497">
        <f>MIN(입력!E62:E63)</f>
        <v>0</v>
      </c>
      <c r="E13" s="581">
        <f>SUM(입력!H62,입력!H63)</f>
        <v>0</v>
      </c>
      <c r="F13" s="602">
        <f>E13*0.3111</f>
        <v>0</v>
      </c>
      <c r="G13" s="1062">
        <f>IF(E13&gt;=180,56,SUM(F13:F14))</f>
        <v>0</v>
      </c>
    </row>
    <row r="14" spans="1:7" ht="24.6" customHeight="1" x14ac:dyDescent="0.3">
      <c r="A14" s="1064"/>
      <c r="B14" s="1058"/>
      <c r="C14" s="1061"/>
      <c r="D14" s="497">
        <f>MAX(입력!F62:F63)</f>
        <v>0</v>
      </c>
      <c r="E14" s="581">
        <f>SUM(입력!I62,입력!I63)</f>
        <v>0</v>
      </c>
      <c r="F14" s="602">
        <f>E14*0.0103</f>
        <v>0</v>
      </c>
      <c r="G14" s="1062"/>
    </row>
    <row r="15" spans="1:7" ht="24.6" customHeight="1" x14ac:dyDescent="0.3">
      <c r="A15" s="1065"/>
      <c r="B15" s="1057" t="s">
        <v>31</v>
      </c>
      <c r="C15" s="1057"/>
      <c r="D15" s="1057"/>
      <c r="E15" s="1057"/>
      <c r="F15" s="1057"/>
      <c r="G15" s="603">
        <f>SUM(G9:G14)</f>
        <v>0</v>
      </c>
    </row>
    <row r="16" spans="1:7" ht="24.6" customHeight="1" x14ac:dyDescent="0.3">
      <c r="A16" s="1053" t="s">
        <v>1692</v>
      </c>
      <c r="B16" s="1054"/>
      <c r="C16" s="1054"/>
      <c r="D16" s="1054"/>
      <c r="E16" s="1054"/>
      <c r="F16" s="1054"/>
      <c r="G16" s="1055"/>
    </row>
    <row r="17" spans="1:7" ht="24.6" customHeight="1" x14ac:dyDescent="0.3">
      <c r="A17" s="1051" t="s">
        <v>25</v>
      </c>
      <c r="B17" s="1052"/>
      <c r="C17" s="10" t="s">
        <v>26</v>
      </c>
      <c r="D17" s="10" t="s">
        <v>27</v>
      </c>
      <c r="E17" s="10" t="s">
        <v>65</v>
      </c>
      <c r="F17" s="10" t="s">
        <v>11</v>
      </c>
      <c r="G17" s="15" t="s">
        <v>14</v>
      </c>
    </row>
    <row r="18" spans="1:7" ht="24.6" customHeight="1" x14ac:dyDescent="0.3">
      <c r="A18" s="1064" t="s">
        <v>399</v>
      </c>
      <c r="B18" s="1058" t="s">
        <v>28</v>
      </c>
      <c r="C18" s="1063" t="str">
        <f>입력!D64 &amp; IF(ISBLANK(입력!D65),""," 등")</f>
        <v/>
      </c>
      <c r="D18" s="497">
        <f>MIN(입력!E64:E66)</f>
        <v>0</v>
      </c>
      <c r="E18" s="581">
        <f>IF(SUM(입력!H64,입력!H65,입력!H66)&gt;=60,60,SUM(입력!H64,입력!H65,입력!H66))</f>
        <v>0</v>
      </c>
      <c r="F18" s="602">
        <f>E18*0.1</f>
        <v>0</v>
      </c>
      <c r="G18" s="1062">
        <f>IF(E18&gt;=60,6,SUM(F18:F19))</f>
        <v>0</v>
      </c>
    </row>
    <row r="19" spans="1:7" ht="24.6" customHeight="1" x14ac:dyDescent="0.3">
      <c r="A19" s="1064"/>
      <c r="B19" s="1058"/>
      <c r="C19" s="1063"/>
      <c r="D19" s="497">
        <f>MAX(입력!F64:F66)</f>
        <v>0</v>
      </c>
      <c r="E19" s="581">
        <f>SUM(입력!I64,입력!I65,입력!I66)</f>
        <v>0</v>
      </c>
      <c r="F19" s="602">
        <f>E19*0.0033</f>
        <v>0</v>
      </c>
      <c r="G19" s="1062"/>
    </row>
    <row r="20" spans="1:7" ht="24.6" customHeight="1" x14ac:dyDescent="0.3">
      <c r="A20" s="1064"/>
      <c r="B20" s="1058" t="s">
        <v>29</v>
      </c>
      <c r="C20" s="1063" t="str">
        <f>입력!D67 &amp; IF(ISBLANK(입력!D68),""," 등")</f>
        <v/>
      </c>
      <c r="D20" s="497">
        <f>MIN(입력!E67:E68)</f>
        <v>0</v>
      </c>
      <c r="E20" s="581">
        <f>SUM(입력!H67,입력!H68)</f>
        <v>0</v>
      </c>
      <c r="F20" s="602">
        <f>E20*0.0833</f>
        <v>0</v>
      </c>
      <c r="G20" s="1062">
        <f>IF(E20&gt;=60,5,SUM(F20:F21))</f>
        <v>0</v>
      </c>
    </row>
    <row r="21" spans="1:7" ht="24.6" customHeight="1" x14ac:dyDescent="0.3">
      <c r="A21" s="1064"/>
      <c r="B21" s="1058"/>
      <c r="C21" s="1063"/>
      <c r="D21" s="497">
        <f>MAX(입력!F67:F68)</f>
        <v>0</v>
      </c>
      <c r="E21" s="581">
        <f>SUM(입력!I67,입력!I68)</f>
        <v>0</v>
      </c>
      <c r="F21" s="602">
        <f>E21*0.0027</f>
        <v>0</v>
      </c>
      <c r="G21" s="1062"/>
    </row>
    <row r="22" spans="1:7" ht="24.6" customHeight="1" x14ac:dyDescent="0.3">
      <c r="A22" s="1064"/>
      <c r="B22" s="1058" t="s">
        <v>30</v>
      </c>
      <c r="C22" s="1063" t="str">
        <f>입력!D69 &amp; IF(ISBLANK(입력!D70),""," 등")</f>
        <v/>
      </c>
      <c r="D22" s="497">
        <f>MIN(입력!E69:E70)</f>
        <v>0</v>
      </c>
      <c r="E22" s="581">
        <f>SUM(입력!H69,입력!H70)</f>
        <v>0</v>
      </c>
      <c r="F22" s="602">
        <f>E22*0.0666</f>
        <v>0</v>
      </c>
      <c r="G22" s="1062">
        <f>IF(E22&gt;=60,4,SUM(F22:F23))</f>
        <v>0</v>
      </c>
    </row>
    <row r="23" spans="1:7" ht="24.6" customHeight="1" x14ac:dyDescent="0.3">
      <c r="A23" s="1064"/>
      <c r="B23" s="1058"/>
      <c r="C23" s="1063"/>
      <c r="D23" s="497">
        <f>MAX(입력!F69:F70)</f>
        <v>0</v>
      </c>
      <c r="E23" s="581">
        <f>SUM(입력!I69,입력!I70)</f>
        <v>0</v>
      </c>
      <c r="F23" s="602">
        <f>E23*0.0022</f>
        <v>0</v>
      </c>
      <c r="G23" s="1062"/>
    </row>
    <row r="24" spans="1:7" ht="24.6" customHeight="1" x14ac:dyDescent="0.3">
      <c r="A24" s="1065"/>
      <c r="B24" s="1057" t="s">
        <v>31</v>
      </c>
      <c r="C24" s="1057"/>
      <c r="D24" s="1057"/>
      <c r="E24" s="1057"/>
      <c r="F24" s="1057"/>
      <c r="G24" s="603">
        <f>SUM(G18:G23)</f>
        <v>0</v>
      </c>
    </row>
    <row r="25" spans="1:7" ht="24.6" customHeight="1" x14ac:dyDescent="0.3">
      <c r="A25" s="1059" t="s">
        <v>562</v>
      </c>
      <c r="B25" s="1060"/>
      <c r="C25" s="1060"/>
      <c r="D25" s="1060"/>
      <c r="E25" s="1060"/>
      <c r="F25" s="1060"/>
      <c r="G25" s="604">
        <f>ROUND(SUM(G15,G24),3)</f>
        <v>0</v>
      </c>
    </row>
    <row r="26" spans="1:7" ht="24.6" customHeight="1" x14ac:dyDescent="0.3">
      <c r="A26" s="1053" t="s">
        <v>561</v>
      </c>
      <c r="B26" s="1054"/>
      <c r="C26" s="1054"/>
      <c r="D26" s="1054"/>
      <c r="E26" s="1054"/>
      <c r="F26" s="1054"/>
      <c r="G26" s="1055"/>
    </row>
    <row r="27" spans="1:7" ht="24.6" customHeight="1" x14ac:dyDescent="0.3">
      <c r="A27" s="14" t="s">
        <v>19</v>
      </c>
      <c r="B27" s="1052" t="s">
        <v>24</v>
      </c>
      <c r="C27" s="1052"/>
      <c r="D27" s="1052" t="s">
        <v>2</v>
      </c>
      <c r="E27" s="1052"/>
      <c r="F27" s="10" t="s">
        <v>22</v>
      </c>
      <c r="G27" s="15" t="s">
        <v>23</v>
      </c>
    </row>
    <row r="28" spans="1:7" ht="24.6" customHeight="1" x14ac:dyDescent="0.3">
      <c r="A28" s="13" t="s">
        <v>20</v>
      </c>
      <c r="B28" s="1058" t="str">
        <f>입력!$D$35</f>
        <v>경원중학교</v>
      </c>
      <c r="C28" s="1058"/>
      <c r="D28" s="1058" t="str">
        <f>입력!$D$36</f>
        <v>교감</v>
      </c>
      <c r="E28" s="1058"/>
      <c r="F28" s="11" t="str">
        <f>입력!$D$37</f>
        <v>김교감</v>
      </c>
      <c r="G28" s="79" t="s">
        <v>396</v>
      </c>
    </row>
    <row r="29" spans="1:7" ht="24.6" customHeight="1" x14ac:dyDescent="0.3">
      <c r="A29" s="16" t="s">
        <v>21</v>
      </c>
      <c r="B29" s="1056" t="str">
        <f>입력!$D$38</f>
        <v>경원중학교</v>
      </c>
      <c r="C29" s="1056"/>
      <c r="D29" s="1056" t="str">
        <f>입력!$D$39</f>
        <v>교장</v>
      </c>
      <c r="E29" s="1056"/>
      <c r="F29" s="17" t="str">
        <f>입력!$D$40</f>
        <v>이교장</v>
      </c>
      <c r="G29" s="18" t="s">
        <v>396</v>
      </c>
    </row>
  </sheetData>
  <sheetProtection algorithmName="SHA-512" hashValue="CjtW12HGvm71MnrDy5G3MqiyIoyVS0a87iH3x06a4Kf7ppuncieUqRLcjTacYxNajGooSLnBYQf8zcnM/XxiNQ==" saltValue="R3yI/hV8amm5+okbo3xx6g==" spinCount="100000" sheet="1" objects="1" scenarios="1" selectLockedCells="1"/>
  <mergeCells count="41">
    <mergeCell ref="G11:G12"/>
    <mergeCell ref="A4:G4"/>
    <mergeCell ref="A5:C5"/>
    <mergeCell ref="E5:F5"/>
    <mergeCell ref="A6:C6"/>
    <mergeCell ref="E6:F6"/>
    <mergeCell ref="A7:G7"/>
    <mergeCell ref="A8:B8"/>
    <mergeCell ref="D29:E29"/>
    <mergeCell ref="D28:E28"/>
    <mergeCell ref="D27:E27"/>
    <mergeCell ref="A9:A15"/>
    <mergeCell ref="A18:A24"/>
    <mergeCell ref="B11:B12"/>
    <mergeCell ref="C11:C12"/>
    <mergeCell ref="B20:B21"/>
    <mergeCell ref="C20:C21"/>
    <mergeCell ref="G20:G21"/>
    <mergeCell ref="B22:B23"/>
    <mergeCell ref="C22:C23"/>
    <mergeCell ref="G13:G14"/>
    <mergeCell ref="B15:F15"/>
    <mergeCell ref="B18:B19"/>
    <mergeCell ref="C18:C19"/>
    <mergeCell ref="G18:G19"/>
    <mergeCell ref="A2:G2"/>
    <mergeCell ref="A3:G3"/>
    <mergeCell ref="A17:B17"/>
    <mergeCell ref="A16:G16"/>
    <mergeCell ref="B29:C29"/>
    <mergeCell ref="B24:F24"/>
    <mergeCell ref="A26:G26"/>
    <mergeCell ref="B27:C27"/>
    <mergeCell ref="B28:C28"/>
    <mergeCell ref="A25:F25"/>
    <mergeCell ref="B9:B10"/>
    <mergeCell ref="C9:C10"/>
    <mergeCell ref="G9:G10"/>
    <mergeCell ref="G22:G23"/>
    <mergeCell ref="B13:B14"/>
    <mergeCell ref="C13:C14"/>
  </mergeCells>
  <phoneticPr fontId="3" type="noConversion"/>
  <printOptions horizontalCentered="1"/>
  <pageMargins left="0.39370078740157483" right="0.39370078740157483" top="0.78740157480314965" bottom="0.39370078740157483" header="0" footer="0"/>
  <pageSetup paperSize="9" orientation="portrait" r:id="rId1"/>
  <ignoredErrors>
    <ignoredError sqref="D9:D10 D13:D14 D18 D20" formulaRange="1"/>
    <ignoredError sqref="G20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>
    <tabColor rgb="FF0000FF"/>
  </sheetPr>
  <dimension ref="A1:J35"/>
  <sheetViews>
    <sheetView showGridLines="0" showZeros="0" view="pageBreakPreview" zoomScaleNormal="100" zoomScaleSheetLayoutView="100" workbookViewId="0">
      <selection activeCell="N16" sqref="N16"/>
    </sheetView>
  </sheetViews>
  <sheetFormatPr defaultColWidth="8.625" defaultRowHeight="20.45" customHeight="1" x14ac:dyDescent="0.3"/>
  <cols>
    <col min="1" max="1" width="12.625" style="4" customWidth="1"/>
    <col min="2" max="2" width="13.625" style="4" customWidth="1"/>
    <col min="3" max="3" width="12.375" style="4" customWidth="1"/>
    <col min="4" max="5" width="6.625" style="4" customWidth="1"/>
    <col min="6" max="10" width="7.625" style="4" customWidth="1"/>
    <col min="11" max="16384" width="8.625" style="4"/>
  </cols>
  <sheetData>
    <row r="1" spans="1:10" ht="20.45" customHeight="1" x14ac:dyDescent="0.3">
      <c r="A1" s="35" t="s">
        <v>924</v>
      </c>
    </row>
    <row r="2" spans="1:10" ht="20.45" customHeight="1" x14ac:dyDescent="0.3">
      <c r="A2" s="1049" t="s">
        <v>1737</v>
      </c>
      <c r="B2" s="1049"/>
      <c r="C2" s="1049"/>
      <c r="D2" s="1049"/>
      <c r="E2" s="1049"/>
      <c r="F2" s="1049"/>
      <c r="G2" s="1049"/>
      <c r="H2" s="1049"/>
      <c r="I2" s="1049"/>
      <c r="J2" s="1049"/>
    </row>
    <row r="3" spans="1:10" ht="20.45" customHeight="1" x14ac:dyDescent="0.3">
      <c r="A3" s="1050" t="str">
        <f>종합!A3</f>
        <v>(2024.3.31.자 명부작성용)</v>
      </c>
      <c r="B3" s="1050"/>
      <c r="C3" s="1050"/>
      <c r="D3" s="1050"/>
      <c r="E3" s="1050"/>
      <c r="F3" s="1050"/>
      <c r="G3" s="1050"/>
      <c r="H3" s="1050"/>
      <c r="I3" s="1050"/>
      <c r="J3" s="1050"/>
    </row>
    <row r="4" spans="1:10" ht="20.45" customHeight="1" x14ac:dyDescent="0.3">
      <c r="A4" s="1053" t="s">
        <v>382</v>
      </c>
      <c r="B4" s="1054"/>
      <c r="C4" s="1054"/>
      <c r="D4" s="1054"/>
      <c r="E4" s="1054"/>
      <c r="F4" s="1054"/>
      <c r="G4" s="1054"/>
      <c r="H4" s="1054"/>
      <c r="I4" s="1054"/>
      <c r="J4" s="1055"/>
    </row>
    <row r="5" spans="1:10" ht="20.45" customHeight="1" x14ac:dyDescent="0.3">
      <c r="A5" s="1051" t="s">
        <v>24</v>
      </c>
      <c r="B5" s="1052"/>
      <c r="C5" s="1052" t="s">
        <v>2</v>
      </c>
      <c r="D5" s="1052"/>
      <c r="E5" s="1052"/>
      <c r="F5" s="1052" t="s">
        <v>22</v>
      </c>
      <c r="G5" s="1052"/>
      <c r="H5" s="1052"/>
      <c r="I5" s="1052"/>
      <c r="J5" s="15" t="s">
        <v>23</v>
      </c>
    </row>
    <row r="6" spans="1:10" ht="20.45" customHeight="1" x14ac:dyDescent="0.3">
      <c r="A6" s="1065" t="str">
        <f>입력!$D$20</f>
        <v>경원중</v>
      </c>
      <c r="B6" s="1056"/>
      <c r="C6" s="1056" t="str">
        <f>입력!$D$21</f>
        <v>교사</v>
      </c>
      <c r="D6" s="1056"/>
      <c r="E6" s="1056"/>
      <c r="F6" s="1056" t="str">
        <f>입력!$D$22</f>
        <v>홍길동</v>
      </c>
      <c r="G6" s="1056"/>
      <c r="H6" s="1056"/>
      <c r="I6" s="1056"/>
      <c r="J6" s="18" t="s">
        <v>397</v>
      </c>
    </row>
    <row r="7" spans="1:10" ht="20.45" customHeight="1" x14ac:dyDescent="0.3">
      <c r="A7" s="1053" t="s">
        <v>400</v>
      </c>
      <c r="B7" s="1054"/>
      <c r="C7" s="1054"/>
      <c r="D7" s="1054"/>
      <c r="E7" s="1054"/>
      <c r="F7" s="1054"/>
      <c r="G7" s="1054"/>
      <c r="H7" s="1054"/>
      <c r="I7" s="1054"/>
      <c r="J7" s="1055"/>
    </row>
    <row r="8" spans="1:10" ht="20.45" customHeight="1" x14ac:dyDescent="0.3">
      <c r="A8" s="1051" t="s">
        <v>32</v>
      </c>
      <c r="B8" s="1052"/>
      <c r="C8" s="1052" t="s">
        <v>33</v>
      </c>
      <c r="D8" s="1052"/>
      <c r="E8" s="1052"/>
      <c r="F8" s="1052" t="s">
        <v>34</v>
      </c>
      <c r="G8" s="1052"/>
      <c r="H8" s="1052" t="s">
        <v>35</v>
      </c>
      <c r="I8" s="1052"/>
      <c r="J8" s="15" t="s">
        <v>11</v>
      </c>
    </row>
    <row r="9" spans="1:10" ht="20.45" customHeight="1" x14ac:dyDescent="0.3">
      <c r="A9" s="1079">
        <f>입력!$B$78</f>
        <v>0</v>
      </c>
      <c r="B9" s="1074"/>
      <c r="C9" s="1072">
        <f>입력!$C$78</f>
        <v>0</v>
      </c>
      <c r="D9" s="1073"/>
      <c r="E9" s="1074"/>
      <c r="F9" s="1072">
        <f>입력!$D$78</f>
        <v>0</v>
      </c>
      <c r="G9" s="1074"/>
      <c r="H9" s="1072">
        <f>입력!$E$78</f>
        <v>0</v>
      </c>
      <c r="I9" s="1074"/>
      <c r="J9" s="601" t="str">
        <f>입력!$F$78</f>
        <v/>
      </c>
    </row>
    <row r="10" spans="1:10" ht="20.45" customHeight="1" x14ac:dyDescent="0.3">
      <c r="A10" s="1053" t="s">
        <v>1046</v>
      </c>
      <c r="B10" s="1054"/>
      <c r="C10" s="1054"/>
      <c r="D10" s="1054"/>
      <c r="E10" s="1054"/>
      <c r="F10" s="1054"/>
      <c r="G10" s="1054"/>
      <c r="H10" s="1054"/>
      <c r="I10" s="1054"/>
      <c r="J10" s="1055"/>
    </row>
    <row r="11" spans="1:10" ht="20.45" customHeight="1" x14ac:dyDescent="0.3">
      <c r="A11" s="1051" t="s">
        <v>32</v>
      </c>
      <c r="B11" s="1052"/>
      <c r="C11" s="1052" t="s">
        <v>33</v>
      </c>
      <c r="D11" s="1052"/>
      <c r="E11" s="1052"/>
      <c r="F11" s="1052" t="s">
        <v>34</v>
      </c>
      <c r="G11" s="1052"/>
      <c r="H11" s="1052" t="s">
        <v>36</v>
      </c>
      <c r="I11" s="1052"/>
      <c r="J11" s="15" t="s">
        <v>11</v>
      </c>
    </row>
    <row r="12" spans="1:10" ht="20.45" customHeight="1" x14ac:dyDescent="0.3">
      <c r="A12" s="1080">
        <f>입력!B83</f>
        <v>0</v>
      </c>
      <c r="B12" s="1077"/>
      <c r="C12" s="497">
        <f>입력!C83</f>
        <v>0</v>
      </c>
      <c r="D12" s="1082">
        <f>입력!D83</f>
        <v>0</v>
      </c>
      <c r="E12" s="1077"/>
      <c r="F12" s="1075">
        <f>입력!E83</f>
        <v>0</v>
      </c>
      <c r="G12" s="1077"/>
      <c r="H12" s="1075" t="str">
        <f>입력!G83</f>
        <v/>
      </c>
      <c r="I12" s="1077"/>
      <c r="J12" s="600" t="str">
        <f>입력!H83</f>
        <v/>
      </c>
    </row>
    <row r="13" spans="1:10" ht="20.45" customHeight="1" x14ac:dyDescent="0.3">
      <c r="A13" s="1080">
        <f>입력!B84</f>
        <v>0</v>
      </c>
      <c r="B13" s="1077"/>
      <c r="C13" s="497">
        <f>입력!C84</f>
        <v>0</v>
      </c>
      <c r="D13" s="1082">
        <f>입력!D84</f>
        <v>0</v>
      </c>
      <c r="E13" s="1077"/>
      <c r="F13" s="1075">
        <f>입력!E84</f>
        <v>0</v>
      </c>
      <c r="G13" s="1077"/>
      <c r="H13" s="1075" t="str">
        <f>입력!G84</f>
        <v>-</v>
      </c>
      <c r="I13" s="1077"/>
      <c r="J13" s="600" t="str">
        <f>입력!H84</f>
        <v/>
      </c>
    </row>
    <row r="14" spans="1:10" ht="20.45" customHeight="1" x14ac:dyDescent="0.3">
      <c r="A14" s="1079" t="str">
        <f>입력!B85</f>
        <v>경남교육정책 이해 직무연수</v>
      </c>
      <c r="B14" s="1074"/>
      <c r="C14" s="498">
        <f>입력!C85</f>
        <v>0</v>
      </c>
      <c r="D14" s="1081">
        <f>입력!D85</f>
        <v>0</v>
      </c>
      <c r="E14" s="1074"/>
      <c r="F14" s="1072" t="str">
        <f>입력!E85</f>
        <v/>
      </c>
      <c r="G14" s="1074"/>
      <c r="H14" s="1072" t="str">
        <f>입력!G85</f>
        <v>-</v>
      </c>
      <c r="I14" s="1074"/>
      <c r="J14" s="600" t="str">
        <f>입력!H85</f>
        <v/>
      </c>
    </row>
    <row r="15" spans="1:10" ht="20.45" customHeight="1" x14ac:dyDescent="0.3">
      <c r="A15" s="1053" t="s">
        <v>401</v>
      </c>
      <c r="B15" s="1054"/>
      <c r="C15" s="1054"/>
      <c r="D15" s="1054"/>
      <c r="E15" s="1054"/>
      <c r="F15" s="1054"/>
      <c r="G15" s="1054"/>
      <c r="H15" s="1054"/>
      <c r="I15" s="1054"/>
      <c r="J15" s="1055"/>
    </row>
    <row r="16" spans="1:10" ht="20.45" customHeight="1" x14ac:dyDescent="0.3">
      <c r="A16" s="1051" t="s">
        <v>37</v>
      </c>
      <c r="B16" s="1052" t="s">
        <v>38</v>
      </c>
      <c r="C16" s="1052" t="s">
        <v>39</v>
      </c>
      <c r="D16" s="1052" t="s">
        <v>40</v>
      </c>
      <c r="E16" s="1052"/>
      <c r="F16" s="1052"/>
      <c r="G16" s="1052" t="s">
        <v>41</v>
      </c>
      <c r="H16" s="1052"/>
      <c r="I16" s="1052"/>
      <c r="J16" s="1078" t="s">
        <v>11</v>
      </c>
    </row>
    <row r="17" spans="1:10" ht="20.45" customHeight="1" x14ac:dyDescent="0.3">
      <c r="A17" s="1051"/>
      <c r="B17" s="1052"/>
      <c r="C17" s="1052"/>
      <c r="D17" s="10" t="s">
        <v>71</v>
      </c>
      <c r="E17" s="10" t="s">
        <v>72</v>
      </c>
      <c r="F17" s="10" t="s">
        <v>73</v>
      </c>
      <c r="G17" s="10" t="s">
        <v>71</v>
      </c>
      <c r="H17" s="10" t="s">
        <v>72</v>
      </c>
      <c r="I17" s="10" t="s">
        <v>73</v>
      </c>
      <c r="J17" s="1078"/>
    </row>
    <row r="18" spans="1:10" ht="20.45" customHeight="1" x14ac:dyDescent="0.3">
      <c r="A18" s="580">
        <f>입력!B92</f>
        <v>0</v>
      </c>
      <c r="B18" s="581">
        <f>입력!C92</f>
        <v>0</v>
      </c>
      <c r="C18" s="12">
        <f>입력!D92</f>
        <v>0</v>
      </c>
      <c r="D18" s="581">
        <f>입력!E92</f>
        <v>0</v>
      </c>
      <c r="E18" s="581">
        <f>입력!F92</f>
        <v>0</v>
      </c>
      <c r="F18" s="581">
        <f>입력!G92</f>
        <v>0</v>
      </c>
      <c r="G18" s="581">
        <f>입력!H92</f>
        <v>0</v>
      </c>
      <c r="H18" s="581">
        <f>입력!I92</f>
        <v>0</v>
      </c>
      <c r="I18" s="581">
        <f>입력!J92</f>
        <v>0</v>
      </c>
      <c r="J18" s="600" t="str">
        <f>입력!K92</f>
        <v/>
      </c>
    </row>
    <row r="19" spans="1:10" ht="20.45" customHeight="1" x14ac:dyDescent="0.3">
      <c r="A19" s="580">
        <f>입력!B93</f>
        <v>0</v>
      </c>
      <c r="B19" s="581">
        <f>입력!C93</f>
        <v>0</v>
      </c>
      <c r="C19" s="12">
        <f>입력!D93</f>
        <v>0</v>
      </c>
      <c r="D19" s="581">
        <f>입력!E93</f>
        <v>0</v>
      </c>
      <c r="E19" s="581">
        <f>입력!F93</f>
        <v>0</v>
      </c>
      <c r="F19" s="581">
        <f>입력!G93</f>
        <v>0</v>
      </c>
      <c r="G19" s="581">
        <f>입력!H93</f>
        <v>0</v>
      </c>
      <c r="H19" s="581">
        <f>입력!I93</f>
        <v>0</v>
      </c>
      <c r="I19" s="581">
        <f>입력!J93</f>
        <v>0</v>
      </c>
      <c r="J19" s="600" t="str">
        <f>입력!K93</f>
        <v/>
      </c>
    </row>
    <row r="20" spans="1:10" ht="20.45" customHeight="1" x14ac:dyDescent="0.3">
      <c r="A20" s="580">
        <f>입력!B94</f>
        <v>0</v>
      </c>
      <c r="B20" s="581">
        <f>입력!C94</f>
        <v>0</v>
      </c>
      <c r="C20" s="12">
        <f>입력!D94</f>
        <v>0</v>
      </c>
      <c r="D20" s="581">
        <f>입력!E94</f>
        <v>0</v>
      </c>
      <c r="E20" s="581">
        <f>입력!F94</f>
        <v>0</v>
      </c>
      <c r="F20" s="581">
        <f>입력!G94</f>
        <v>0</v>
      </c>
      <c r="G20" s="581">
        <f>입력!H94</f>
        <v>0</v>
      </c>
      <c r="H20" s="581">
        <f>입력!I94</f>
        <v>0</v>
      </c>
      <c r="I20" s="581">
        <f>입력!J94</f>
        <v>0</v>
      </c>
      <c r="J20" s="600" t="str">
        <f>입력!K94</f>
        <v/>
      </c>
    </row>
    <row r="21" spans="1:10" ht="20.45" customHeight="1" x14ac:dyDescent="0.3">
      <c r="A21" s="580">
        <f>입력!B95</f>
        <v>0</v>
      </c>
      <c r="B21" s="581">
        <f>입력!C95</f>
        <v>0</v>
      </c>
      <c r="C21" s="12">
        <f>입력!D95</f>
        <v>0</v>
      </c>
      <c r="D21" s="581">
        <f>입력!E95</f>
        <v>0</v>
      </c>
      <c r="E21" s="581">
        <f>입력!F95</f>
        <v>0</v>
      </c>
      <c r="F21" s="581">
        <f>입력!G95</f>
        <v>0</v>
      </c>
      <c r="G21" s="581">
        <f>입력!H95</f>
        <v>0</v>
      </c>
      <c r="H21" s="581">
        <f>입력!I95</f>
        <v>0</v>
      </c>
      <c r="I21" s="581">
        <f>입력!J95</f>
        <v>0</v>
      </c>
      <c r="J21" s="600" t="str">
        <f>입력!K95</f>
        <v/>
      </c>
    </row>
    <row r="22" spans="1:10" ht="20.45" customHeight="1" x14ac:dyDescent="0.3">
      <c r="A22" s="580">
        <f>입력!B96</f>
        <v>0</v>
      </c>
      <c r="B22" s="581">
        <f>입력!C96</f>
        <v>0</v>
      </c>
      <c r="C22" s="12">
        <f>입력!D96</f>
        <v>0</v>
      </c>
      <c r="D22" s="581">
        <f>입력!E96</f>
        <v>0</v>
      </c>
      <c r="E22" s="581">
        <f>입력!F96</f>
        <v>0</v>
      </c>
      <c r="F22" s="581">
        <f>입력!G96</f>
        <v>0</v>
      </c>
      <c r="G22" s="581">
        <f>입력!H96</f>
        <v>0</v>
      </c>
      <c r="H22" s="581">
        <f>입력!I96</f>
        <v>0</v>
      </c>
      <c r="I22" s="581">
        <f>입력!J96</f>
        <v>0</v>
      </c>
      <c r="J22" s="600" t="str">
        <f>입력!K96</f>
        <v/>
      </c>
    </row>
    <row r="23" spans="1:10" ht="20.45" customHeight="1" x14ac:dyDescent="0.3">
      <c r="A23" s="580">
        <f>입력!B97</f>
        <v>0</v>
      </c>
      <c r="B23" s="581">
        <f>입력!C97</f>
        <v>0</v>
      </c>
      <c r="C23" s="12">
        <f>입력!D97</f>
        <v>0</v>
      </c>
      <c r="D23" s="581">
        <f>입력!E97</f>
        <v>0</v>
      </c>
      <c r="E23" s="581">
        <f>입력!F97</f>
        <v>0</v>
      </c>
      <c r="F23" s="581">
        <f>입력!G97</f>
        <v>0</v>
      </c>
      <c r="G23" s="581">
        <f>입력!H97</f>
        <v>0</v>
      </c>
      <c r="H23" s="581">
        <f>입력!I97</f>
        <v>0</v>
      </c>
      <c r="I23" s="581">
        <f>입력!J97</f>
        <v>0</v>
      </c>
      <c r="J23" s="600" t="str">
        <f>입력!K97</f>
        <v/>
      </c>
    </row>
    <row r="24" spans="1:10" ht="20.45" customHeight="1" x14ac:dyDescent="0.3">
      <c r="A24" s="580">
        <f>입력!B98</f>
        <v>0</v>
      </c>
      <c r="B24" s="581">
        <f>입력!C98</f>
        <v>0</v>
      </c>
      <c r="C24" s="12">
        <f>입력!D98</f>
        <v>0</v>
      </c>
      <c r="D24" s="581">
        <f>입력!E98</f>
        <v>0</v>
      </c>
      <c r="E24" s="581">
        <f>입력!F98</f>
        <v>0</v>
      </c>
      <c r="F24" s="581">
        <f>입력!G98</f>
        <v>0</v>
      </c>
      <c r="G24" s="581">
        <f>입력!H98</f>
        <v>0</v>
      </c>
      <c r="H24" s="581">
        <f>입력!I98</f>
        <v>0</v>
      </c>
      <c r="I24" s="581">
        <f>입력!J98</f>
        <v>0</v>
      </c>
      <c r="J24" s="600" t="str">
        <f>입력!K98</f>
        <v/>
      </c>
    </row>
    <row r="25" spans="1:10" ht="20.45" customHeight="1" x14ac:dyDescent="0.3">
      <c r="A25" s="578">
        <f>입력!B99</f>
        <v>0</v>
      </c>
      <c r="B25" s="579">
        <f>입력!C99</f>
        <v>0</v>
      </c>
      <c r="C25" s="380">
        <f>입력!D99</f>
        <v>0</v>
      </c>
      <c r="D25" s="579">
        <f>입력!E99</f>
        <v>0</v>
      </c>
      <c r="E25" s="579">
        <f>입력!F99</f>
        <v>0</v>
      </c>
      <c r="F25" s="579">
        <f>입력!G99</f>
        <v>0</v>
      </c>
      <c r="G25" s="579">
        <f>입력!H99</f>
        <v>0</v>
      </c>
      <c r="H25" s="579">
        <f>입력!I99</f>
        <v>0</v>
      </c>
      <c r="I25" s="579">
        <f>입력!J99</f>
        <v>0</v>
      </c>
      <c r="J25" s="601" t="str">
        <f>입력!K99</f>
        <v/>
      </c>
    </row>
    <row r="26" spans="1:10" ht="20.45" customHeight="1" x14ac:dyDescent="0.3">
      <c r="A26" s="1083" t="s">
        <v>402</v>
      </c>
      <c r="B26" s="1084"/>
      <c r="C26" s="1084"/>
      <c r="D26" s="1084"/>
      <c r="E26" s="1084"/>
      <c r="F26" s="1084"/>
      <c r="G26" s="1084"/>
      <c r="H26" s="1084"/>
      <c r="I26" s="1084"/>
      <c r="J26" s="381">
        <f>IF(입력!K100&gt;3,3,입력!K100)</f>
        <v>0</v>
      </c>
    </row>
    <row r="27" spans="1:10" ht="20.45" customHeight="1" x14ac:dyDescent="0.3">
      <c r="A27" s="1051" t="s">
        <v>19</v>
      </c>
      <c r="B27" s="1052"/>
      <c r="C27" s="10" t="s">
        <v>6</v>
      </c>
      <c r="D27" s="1052" t="s">
        <v>42</v>
      </c>
      <c r="E27" s="1052"/>
      <c r="F27" s="1052"/>
      <c r="G27" s="1052" t="s">
        <v>43</v>
      </c>
      <c r="H27" s="1052"/>
      <c r="I27" s="1052"/>
      <c r="J27" s="15" t="s">
        <v>11</v>
      </c>
    </row>
    <row r="28" spans="1:10" ht="20.45" customHeight="1" x14ac:dyDescent="0.3">
      <c r="A28" s="580">
        <f>입력!B104</f>
        <v>0</v>
      </c>
      <c r="B28" s="581">
        <f>입력!C104</f>
        <v>0</v>
      </c>
      <c r="C28" s="12">
        <f>입력!D104</f>
        <v>0</v>
      </c>
      <c r="D28" s="1075">
        <f>입력!$E$104</f>
        <v>0</v>
      </c>
      <c r="E28" s="1076"/>
      <c r="F28" s="1077"/>
      <c r="G28" s="1075">
        <f>입력!$H$104</f>
        <v>0</v>
      </c>
      <c r="H28" s="1076"/>
      <c r="I28" s="1077"/>
      <c r="J28" s="600" t="str">
        <f>입력!K104</f>
        <v/>
      </c>
    </row>
    <row r="29" spans="1:10" ht="20.45" customHeight="1" x14ac:dyDescent="0.3">
      <c r="A29" s="578">
        <f>입력!B105</f>
        <v>0</v>
      </c>
      <c r="B29" s="579">
        <f>입력!C105</f>
        <v>0</v>
      </c>
      <c r="C29" s="380">
        <f>입력!D105</f>
        <v>0</v>
      </c>
      <c r="D29" s="1072">
        <f>입력!$E$105</f>
        <v>0</v>
      </c>
      <c r="E29" s="1073"/>
      <c r="F29" s="1074"/>
      <c r="G29" s="1072">
        <f>입력!$H$105</f>
        <v>0</v>
      </c>
      <c r="H29" s="1073"/>
      <c r="I29" s="1074"/>
      <c r="J29" s="601" t="str">
        <f>입력!K105</f>
        <v/>
      </c>
    </row>
    <row r="30" spans="1:10" ht="20.45" customHeight="1" x14ac:dyDescent="0.3">
      <c r="A30" s="1068" t="s">
        <v>534</v>
      </c>
      <c r="B30" s="1069"/>
      <c r="C30" s="1069"/>
      <c r="D30" s="1069"/>
      <c r="E30" s="1069"/>
      <c r="F30" s="1069"/>
      <c r="G30" s="1069"/>
      <c r="H30" s="1069"/>
      <c r="I30" s="1069"/>
      <c r="J30" s="1066">
        <f>SUM(J9,J12:J14,J26)</f>
        <v>0</v>
      </c>
    </row>
    <row r="31" spans="1:10" ht="20.45" customHeight="1" x14ac:dyDescent="0.3">
      <c r="A31" s="1070"/>
      <c r="B31" s="1071"/>
      <c r="C31" s="1071"/>
      <c r="D31" s="1071"/>
      <c r="E31" s="1071"/>
      <c r="F31" s="1071"/>
      <c r="G31" s="1071"/>
      <c r="H31" s="1071"/>
      <c r="I31" s="1071"/>
      <c r="J31" s="1067"/>
    </row>
    <row r="32" spans="1:10" ht="20.45" customHeight="1" x14ac:dyDescent="0.3">
      <c r="A32" s="1053" t="s">
        <v>403</v>
      </c>
      <c r="B32" s="1054"/>
      <c r="C32" s="1054"/>
      <c r="D32" s="1054"/>
      <c r="E32" s="1054"/>
      <c r="F32" s="1054"/>
      <c r="G32" s="1054"/>
      <c r="H32" s="1054"/>
      <c r="I32" s="1054"/>
      <c r="J32" s="1055"/>
    </row>
    <row r="33" spans="1:10" ht="20.45" customHeight="1" x14ac:dyDescent="0.3">
      <c r="A33" s="1051" t="s">
        <v>19</v>
      </c>
      <c r="B33" s="1052"/>
      <c r="C33" s="1052" t="s">
        <v>24</v>
      </c>
      <c r="D33" s="1052"/>
      <c r="E33" s="1052"/>
      <c r="F33" s="1052" t="s">
        <v>2</v>
      </c>
      <c r="G33" s="1052"/>
      <c r="H33" s="1052" t="s">
        <v>22</v>
      </c>
      <c r="I33" s="1052"/>
      <c r="J33" s="15" t="s">
        <v>23</v>
      </c>
    </row>
    <row r="34" spans="1:10" ht="20.45" customHeight="1" x14ac:dyDescent="0.3">
      <c r="A34" s="1064" t="s">
        <v>20</v>
      </c>
      <c r="B34" s="1058"/>
      <c r="C34" s="1058" t="str">
        <f>입력!$D$35</f>
        <v>경원중학교</v>
      </c>
      <c r="D34" s="1058"/>
      <c r="E34" s="1058"/>
      <c r="F34" s="1058" t="str">
        <f>입력!$D$36</f>
        <v>교감</v>
      </c>
      <c r="G34" s="1058"/>
      <c r="H34" s="1058" t="str">
        <f>입력!$D$37</f>
        <v>김교감</v>
      </c>
      <c r="I34" s="1058"/>
      <c r="J34" s="79" t="s">
        <v>396</v>
      </c>
    </row>
    <row r="35" spans="1:10" ht="20.45" customHeight="1" x14ac:dyDescent="0.3">
      <c r="A35" s="1065" t="s">
        <v>21</v>
      </c>
      <c r="B35" s="1056"/>
      <c r="C35" s="1056" t="str">
        <f>입력!$D$38</f>
        <v>경원중학교</v>
      </c>
      <c r="D35" s="1056"/>
      <c r="E35" s="1056"/>
      <c r="F35" s="1056" t="str">
        <f>입력!$D$39</f>
        <v>교장</v>
      </c>
      <c r="G35" s="1056"/>
      <c r="H35" s="1056" t="str">
        <f>입력!$D$40</f>
        <v>이교장</v>
      </c>
      <c r="I35" s="1056"/>
      <c r="J35" s="18" t="s">
        <v>396</v>
      </c>
    </row>
  </sheetData>
  <sheetProtection algorithmName="SHA-512" hashValue="SNo0ASdmPIDZEBSNDLbi3IBNnUqxyvgqmfwULUBuV/VEGlF3YZ2FgMv+bw/mJ8yltcFT2muL0Gr7aogX838cvQ==" saltValue="hzhurfAC6uHtMRw/qznzTw==" spinCount="100000" sheet="1" objects="1" scenarios="1" selectLockedCells="1"/>
  <mergeCells count="65">
    <mergeCell ref="A26:I26"/>
    <mergeCell ref="A4:J4"/>
    <mergeCell ref="A5:B5"/>
    <mergeCell ref="C5:E5"/>
    <mergeCell ref="F5:I5"/>
    <mergeCell ref="A6:B6"/>
    <mergeCell ref="C6:E6"/>
    <mergeCell ref="F6:I6"/>
    <mergeCell ref="A9:B9"/>
    <mergeCell ref="C9:E9"/>
    <mergeCell ref="F9:G9"/>
    <mergeCell ref="H9:I9"/>
    <mergeCell ref="A10:J10"/>
    <mergeCell ref="A7:J7"/>
    <mergeCell ref="A8:B8"/>
    <mergeCell ref="C8:E8"/>
    <mergeCell ref="F8:G8"/>
    <mergeCell ref="H8:I8"/>
    <mergeCell ref="F11:G11"/>
    <mergeCell ref="H11:I11"/>
    <mergeCell ref="A15:J15"/>
    <mergeCell ref="A16:A17"/>
    <mergeCell ref="J16:J17"/>
    <mergeCell ref="A11:B11"/>
    <mergeCell ref="C11:E11"/>
    <mergeCell ref="A14:B14"/>
    <mergeCell ref="F14:G14"/>
    <mergeCell ref="A13:B13"/>
    <mergeCell ref="F13:G13"/>
    <mergeCell ref="D14:E14"/>
    <mergeCell ref="H13:I13"/>
    <mergeCell ref="A12:B12"/>
    <mergeCell ref="F12:G12"/>
    <mergeCell ref="H12:I12"/>
    <mergeCell ref="D12:E12"/>
    <mergeCell ref="D13:E13"/>
    <mergeCell ref="A35:B35"/>
    <mergeCell ref="C35:E35"/>
    <mergeCell ref="F35:G35"/>
    <mergeCell ref="H35:I35"/>
    <mergeCell ref="A32:J32"/>
    <mergeCell ref="A33:B33"/>
    <mergeCell ref="C33:E33"/>
    <mergeCell ref="F33:G33"/>
    <mergeCell ref="H33:I33"/>
    <mergeCell ref="A34:B34"/>
    <mergeCell ref="C34:E34"/>
    <mergeCell ref="F34:G34"/>
    <mergeCell ref="H34:I34"/>
    <mergeCell ref="A2:J2"/>
    <mergeCell ref="A3:J3"/>
    <mergeCell ref="J30:J31"/>
    <mergeCell ref="A30:I31"/>
    <mergeCell ref="A27:B27"/>
    <mergeCell ref="D27:F27"/>
    <mergeCell ref="G27:I27"/>
    <mergeCell ref="D29:F29"/>
    <mergeCell ref="G29:I29"/>
    <mergeCell ref="D28:F28"/>
    <mergeCell ref="G28:I28"/>
    <mergeCell ref="H14:I14"/>
    <mergeCell ref="B16:B17"/>
    <mergeCell ref="C16:C17"/>
    <mergeCell ref="D16:F16"/>
    <mergeCell ref="G16:I16"/>
  </mergeCells>
  <phoneticPr fontId="3" type="noConversion"/>
  <printOptions horizontalCentered="1"/>
  <pageMargins left="0.39370078740157483" right="0.39370078740157483" top="0.78740157480314965" bottom="0.39370078740157483" header="0" footer="0"/>
  <pageSetup paperSize="9" scale="9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>
    <tabColor rgb="FF0000FF"/>
  </sheetPr>
  <dimension ref="A1:BY64"/>
  <sheetViews>
    <sheetView showGridLines="0" showZeros="0" view="pageBreakPreview" zoomScaleNormal="100" zoomScaleSheetLayoutView="100" workbookViewId="0">
      <selection activeCell="F25" sqref="F25"/>
    </sheetView>
  </sheetViews>
  <sheetFormatPr defaultColWidth="11.625" defaultRowHeight="14.1" customHeight="1" x14ac:dyDescent="0.3"/>
  <cols>
    <col min="1" max="1" width="14" style="82" customWidth="1"/>
    <col min="2" max="2" width="4.625" style="82" customWidth="1"/>
    <col min="3" max="3" width="18" style="82" customWidth="1"/>
    <col min="4" max="4" width="11.625" style="82"/>
    <col min="5" max="6" width="11.625" style="82" customWidth="1"/>
    <col min="7" max="7" width="8.5" style="82" customWidth="1"/>
    <col min="8" max="8" width="6.5" style="82" customWidth="1"/>
    <col min="9" max="9" width="6.875" style="82" customWidth="1"/>
    <col min="10" max="10" width="11.625" style="82" bestFit="1" customWidth="1"/>
    <col min="11" max="16384" width="11.625" style="82"/>
  </cols>
  <sheetData>
    <row r="1" spans="1:77" ht="12.75" customHeight="1" x14ac:dyDescent="0.3">
      <c r="A1" s="81" t="s">
        <v>926</v>
      </c>
      <c r="B1" s="81"/>
      <c r="AA1" s="82" t="s">
        <v>993</v>
      </c>
    </row>
    <row r="2" spans="1:77" ht="24.75" customHeight="1" x14ac:dyDescent="0.3">
      <c r="A2" s="1085" t="s">
        <v>1738</v>
      </c>
      <c r="B2" s="1085"/>
      <c r="C2" s="1085"/>
      <c r="D2" s="1085"/>
      <c r="E2" s="1085"/>
      <c r="F2" s="1085"/>
      <c r="G2" s="1085"/>
      <c r="H2" s="1085"/>
      <c r="I2" s="1085"/>
      <c r="AA2" s="82" t="s">
        <v>994</v>
      </c>
    </row>
    <row r="3" spans="1:77" ht="18" customHeight="1" x14ac:dyDescent="0.3">
      <c r="A3" s="1086" t="str">
        <f>종합!A3</f>
        <v>(2024.3.31.자 명부작성용)</v>
      </c>
      <c r="B3" s="1086"/>
      <c r="C3" s="1086"/>
      <c r="D3" s="1086"/>
      <c r="E3" s="1086"/>
      <c r="F3" s="1086"/>
      <c r="G3" s="1086"/>
      <c r="H3" s="1086"/>
      <c r="I3" s="1086"/>
    </row>
    <row r="4" spans="1:77" ht="12.75" customHeight="1" x14ac:dyDescent="0.3">
      <c r="A4" s="1098" t="s">
        <v>382</v>
      </c>
      <c r="B4" s="1099"/>
      <c r="C4" s="1099"/>
      <c r="D4" s="1099"/>
      <c r="E4" s="1099"/>
      <c r="F4" s="1099"/>
      <c r="G4" s="1099"/>
      <c r="H4" s="1099"/>
      <c r="I4" s="1100"/>
    </row>
    <row r="5" spans="1:77" ht="12.75" customHeight="1" x14ac:dyDescent="0.3">
      <c r="A5" s="1095" t="s">
        <v>24</v>
      </c>
      <c r="B5" s="1096"/>
      <c r="C5" s="1097"/>
      <c r="D5" s="1097" t="s">
        <v>2</v>
      </c>
      <c r="E5" s="1097"/>
      <c r="F5" s="1097" t="s">
        <v>22</v>
      </c>
      <c r="G5" s="1097"/>
      <c r="H5" s="1101" t="s">
        <v>23</v>
      </c>
      <c r="I5" s="1102"/>
    </row>
    <row r="6" spans="1:77" ht="12.75" customHeight="1" x14ac:dyDescent="0.3">
      <c r="A6" s="1103" t="str">
        <f>입력!$D$20</f>
        <v>경원중</v>
      </c>
      <c r="B6" s="1104"/>
      <c r="C6" s="1105"/>
      <c r="D6" s="1105" t="str">
        <f>입력!$D$21</f>
        <v>교사</v>
      </c>
      <c r="E6" s="1105"/>
      <c r="F6" s="1105" t="str">
        <f>입력!$D$22</f>
        <v>홍길동</v>
      </c>
      <c r="G6" s="1105"/>
      <c r="H6" s="1106" t="s">
        <v>391</v>
      </c>
      <c r="I6" s="1107"/>
    </row>
    <row r="7" spans="1:77" ht="12.75" customHeight="1" x14ac:dyDescent="0.3">
      <c r="A7" s="1087" t="s">
        <v>548</v>
      </c>
      <c r="B7" s="1088"/>
      <c r="C7" s="1088"/>
      <c r="D7" s="1088"/>
      <c r="E7" s="1088"/>
      <c r="F7" s="1088"/>
      <c r="G7" s="1088"/>
      <c r="H7" s="1088"/>
      <c r="I7" s="1089"/>
    </row>
    <row r="8" spans="1:77" ht="12.75" customHeight="1" x14ac:dyDescent="0.3">
      <c r="A8" s="1129" t="s">
        <v>44</v>
      </c>
      <c r="B8" s="1130"/>
      <c r="C8" s="1108" t="s">
        <v>45</v>
      </c>
      <c r="D8" s="1108" t="s">
        <v>46</v>
      </c>
      <c r="E8" s="1108" t="s">
        <v>549</v>
      </c>
      <c r="F8" s="1108"/>
      <c r="G8" s="1108" t="s">
        <v>974</v>
      </c>
      <c r="H8" s="1108" t="s">
        <v>60</v>
      </c>
      <c r="I8" s="1090" t="s">
        <v>966</v>
      </c>
      <c r="J8" s="96"/>
      <c r="L8" s="88"/>
    </row>
    <row r="9" spans="1:77" s="97" customFormat="1" ht="15.75" customHeight="1" thickBot="1" x14ac:dyDescent="0.35">
      <c r="A9" s="1131"/>
      <c r="B9" s="1132"/>
      <c r="C9" s="1109"/>
      <c r="D9" s="1109"/>
      <c r="E9" s="729" t="s">
        <v>434</v>
      </c>
      <c r="F9" s="729" t="s">
        <v>556</v>
      </c>
      <c r="G9" s="1109"/>
      <c r="H9" s="1109"/>
      <c r="I9" s="1091"/>
      <c r="J9" s="96"/>
      <c r="K9" s="82"/>
      <c r="L9" s="88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  <c r="BW9" s="82"/>
      <c r="BX9" s="82"/>
      <c r="BY9" s="82"/>
    </row>
    <row r="10" spans="1:77" s="97" customFormat="1" ht="15.75" customHeight="1" x14ac:dyDescent="0.3">
      <c r="A10" s="1133" t="str">
        <f>입력!B113</f>
        <v>(공통)
연구학교
근무경력
-교육부장관지정</v>
      </c>
      <c r="B10" s="1134"/>
      <c r="C10" s="725">
        <f>입력!C113</f>
        <v>0</v>
      </c>
      <c r="D10" s="725">
        <f>입력!D113</f>
        <v>0</v>
      </c>
      <c r="E10" s="726">
        <f>입력!E113</f>
        <v>0</v>
      </c>
      <c r="F10" s="726">
        <f>입력!F113</f>
        <v>0</v>
      </c>
      <c r="G10" s="725" t="str">
        <f>IF(F10=0,"",입력!G113&amp;"."&amp;RIGHT("0"&amp;입력!H113,2))</f>
        <v/>
      </c>
      <c r="H10" s="1137">
        <f>IF(입력!K113&gt;1,1,입력!K113)</f>
        <v>0</v>
      </c>
      <c r="I10" s="1127">
        <f>IF(SUM(H10:H24)&gt;1,1,SUM(H10:H24))</f>
        <v>0</v>
      </c>
      <c r="J10" s="96"/>
      <c r="K10" s="82"/>
      <c r="L10" s="88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</row>
    <row r="11" spans="1:77" ht="12.75" customHeight="1" x14ac:dyDescent="0.3">
      <c r="A11" s="1133"/>
      <c r="B11" s="1134"/>
      <c r="C11" s="89">
        <f>입력!C114</f>
        <v>0</v>
      </c>
      <c r="D11" s="89">
        <f>입력!D114</f>
        <v>0</v>
      </c>
      <c r="E11" s="554">
        <f>입력!E114</f>
        <v>0</v>
      </c>
      <c r="F11" s="554">
        <f>입력!F114</f>
        <v>0</v>
      </c>
      <c r="G11" s="89" t="str">
        <f>IF(F11=0,"",입력!G114&amp;"."&amp;RIGHT("0"&amp;입력!H114,2))</f>
        <v/>
      </c>
      <c r="H11" s="1137"/>
      <c r="I11" s="1127"/>
      <c r="J11" s="98"/>
      <c r="L11" s="88"/>
    </row>
    <row r="12" spans="1:77" ht="12.75" customHeight="1" x14ac:dyDescent="0.3">
      <c r="A12" s="1135"/>
      <c r="B12" s="1136"/>
      <c r="C12" s="89">
        <f>입력!C115</f>
        <v>0</v>
      </c>
      <c r="D12" s="89">
        <f>입력!D115</f>
        <v>0</v>
      </c>
      <c r="E12" s="554">
        <f>입력!E115</f>
        <v>0</v>
      </c>
      <c r="F12" s="554">
        <f>입력!F115</f>
        <v>0</v>
      </c>
      <c r="G12" s="89" t="str">
        <f>IF(F12=0,"",입력!G115&amp;"."&amp;RIGHT("0"&amp;입력!H115,2))</f>
        <v/>
      </c>
      <c r="H12" s="1138"/>
      <c r="I12" s="1127"/>
      <c r="J12" s="98"/>
      <c r="L12" s="88"/>
    </row>
    <row r="13" spans="1:77" ht="12.75" customHeight="1" x14ac:dyDescent="0.3">
      <c r="A13" s="1145" t="str">
        <f>입력!B116</f>
        <v>(선택)
교육감지정 
연구/꿈나르미학교/
교육실습협력학교</v>
      </c>
      <c r="B13" s="1146"/>
      <c r="C13" s="89">
        <f>입력!C116</f>
        <v>0</v>
      </c>
      <c r="D13" s="89">
        <f>입력!D116</f>
        <v>0</v>
      </c>
      <c r="E13" s="554">
        <f>입력!E116</f>
        <v>0</v>
      </c>
      <c r="F13" s="554">
        <f>입력!F116</f>
        <v>0</v>
      </c>
      <c r="G13" s="89" t="str">
        <f>IF(F13=0,"",입력!G116&amp;"."&amp;RIGHT("0"&amp;입력!H116,2))</f>
        <v/>
      </c>
      <c r="H13" s="1142">
        <f>IF(입력!K116+입력!K120&gt;1,1,입력!K116+입력!K120)</f>
        <v>0</v>
      </c>
      <c r="I13" s="1127"/>
      <c r="J13" s="98"/>
      <c r="L13" s="88"/>
    </row>
    <row r="14" spans="1:77" ht="12.75" customHeight="1" x14ac:dyDescent="0.3">
      <c r="A14" s="1133"/>
      <c r="B14" s="1134"/>
      <c r="C14" s="89">
        <f>입력!C117</f>
        <v>0</v>
      </c>
      <c r="D14" s="89">
        <f>입력!D117</f>
        <v>0</v>
      </c>
      <c r="E14" s="554">
        <f>입력!E117</f>
        <v>0</v>
      </c>
      <c r="F14" s="554">
        <f>입력!F117</f>
        <v>0</v>
      </c>
      <c r="G14" s="89" t="str">
        <f>IF(F14=0,"",입력!G117&amp;"."&amp;RIGHT("0"&amp;입력!H117,2))</f>
        <v/>
      </c>
      <c r="H14" s="1137"/>
      <c r="I14" s="1127"/>
      <c r="J14" s="99"/>
      <c r="L14" s="88"/>
    </row>
    <row r="15" spans="1:77" ht="12.75" customHeight="1" x14ac:dyDescent="0.3">
      <c r="A15" s="1133"/>
      <c r="B15" s="1134"/>
      <c r="C15" s="89">
        <f>입력!C118</f>
        <v>0</v>
      </c>
      <c r="D15" s="89">
        <f>입력!D118</f>
        <v>0</v>
      </c>
      <c r="E15" s="554">
        <f>입력!E118</f>
        <v>0</v>
      </c>
      <c r="F15" s="554">
        <f>입력!F118</f>
        <v>0</v>
      </c>
      <c r="G15" s="89" t="str">
        <f>IF(F15=0,"",입력!G118&amp;"."&amp;RIGHT("0"&amp;입력!H118,2))</f>
        <v/>
      </c>
      <c r="H15" s="1137"/>
      <c r="I15" s="1127"/>
      <c r="J15" s="99"/>
      <c r="L15" s="88"/>
    </row>
    <row r="16" spans="1:77" ht="12.75" customHeight="1" x14ac:dyDescent="0.3">
      <c r="A16" s="1133"/>
      <c r="B16" s="1134"/>
      <c r="C16" s="89">
        <f>입력!C119</f>
        <v>0</v>
      </c>
      <c r="D16" s="89">
        <f>입력!D119</f>
        <v>0</v>
      </c>
      <c r="E16" s="554">
        <f>입력!E119</f>
        <v>0</v>
      </c>
      <c r="F16" s="554">
        <f>입력!F119</f>
        <v>0</v>
      </c>
      <c r="G16" s="89" t="str">
        <f>IF(F16=0,"",입력!G119&amp;"."&amp;RIGHT("0"&amp;입력!H119,2))</f>
        <v/>
      </c>
      <c r="H16" s="1137"/>
      <c r="I16" s="1127"/>
      <c r="J16" s="99"/>
      <c r="L16" s="88"/>
    </row>
    <row r="17" spans="1:12" ht="12.75" customHeight="1" x14ac:dyDescent="0.3">
      <c r="A17" s="1133"/>
      <c r="B17" s="1134"/>
      <c r="C17" s="89">
        <f>입력!C120</f>
        <v>0</v>
      </c>
      <c r="D17" s="89">
        <f>입력!D120</f>
        <v>0</v>
      </c>
      <c r="E17" s="554">
        <f>입력!E120</f>
        <v>0</v>
      </c>
      <c r="F17" s="554">
        <f>입력!F120</f>
        <v>0</v>
      </c>
      <c r="G17" s="89" t="str">
        <f>IF(F17=0,"",입력!G120&amp;"."&amp;RIGHT("0"&amp;입력!H120,2))</f>
        <v/>
      </c>
      <c r="H17" s="1137"/>
      <c r="I17" s="1127"/>
      <c r="J17" s="98"/>
      <c r="L17" s="88"/>
    </row>
    <row r="18" spans="1:12" ht="12.75" customHeight="1" x14ac:dyDescent="0.3">
      <c r="A18" s="1133"/>
      <c r="B18" s="1134"/>
      <c r="C18" s="89">
        <f>입력!C121</f>
        <v>0</v>
      </c>
      <c r="D18" s="89">
        <f>입력!D121</f>
        <v>0</v>
      </c>
      <c r="E18" s="554">
        <f>입력!E121</f>
        <v>0</v>
      </c>
      <c r="F18" s="554">
        <f>입력!F121</f>
        <v>0</v>
      </c>
      <c r="G18" s="89" t="str">
        <f>IF(F18=0,"",입력!G121&amp;"."&amp;RIGHT("0"&amp;입력!H121,2))</f>
        <v/>
      </c>
      <c r="H18" s="1137"/>
      <c r="I18" s="1127"/>
      <c r="J18" s="98"/>
      <c r="L18" s="88"/>
    </row>
    <row r="19" spans="1:12" ht="12.75" customHeight="1" x14ac:dyDescent="0.3">
      <c r="A19" s="1133"/>
      <c r="B19" s="1134"/>
      <c r="C19" s="89">
        <f>입력!C122</f>
        <v>0</v>
      </c>
      <c r="D19" s="89">
        <f>입력!D122</f>
        <v>0</v>
      </c>
      <c r="E19" s="554">
        <f>입력!E122</f>
        <v>0</v>
      </c>
      <c r="F19" s="554">
        <f>입력!F122</f>
        <v>0</v>
      </c>
      <c r="G19" s="89" t="str">
        <f>IF(F19=0,"",입력!G122&amp;"."&amp;RIGHT("0"&amp;입력!H122,2))</f>
        <v/>
      </c>
      <c r="H19" s="1137"/>
      <c r="I19" s="1127"/>
      <c r="J19" s="98"/>
      <c r="L19" s="88"/>
    </row>
    <row r="20" spans="1:12" ht="12.75" customHeight="1" x14ac:dyDescent="0.3">
      <c r="A20" s="1135"/>
      <c r="B20" s="1136"/>
      <c r="C20" s="89">
        <f>입력!C123</f>
        <v>0</v>
      </c>
      <c r="D20" s="89">
        <f>입력!D123</f>
        <v>0</v>
      </c>
      <c r="E20" s="554">
        <f>입력!E123</f>
        <v>0</v>
      </c>
      <c r="F20" s="554">
        <f>입력!F123</f>
        <v>0</v>
      </c>
      <c r="G20" s="89" t="str">
        <f>IF(F20=0,"",입력!G123&amp;"."&amp;RIGHT("0"&amp;입력!H123,2))</f>
        <v/>
      </c>
      <c r="H20" s="1138"/>
      <c r="I20" s="1127"/>
      <c r="J20" s="98"/>
      <c r="L20" s="88"/>
    </row>
    <row r="21" spans="1:12" ht="12.75" customHeight="1" x14ac:dyDescent="0.3">
      <c r="A21" s="1145" t="str">
        <f>입력!B124</f>
        <v>교육실습대용학교</v>
      </c>
      <c r="B21" s="1146"/>
      <c r="C21" s="89">
        <f>입력!C124</f>
        <v>0</v>
      </c>
      <c r="D21" s="89">
        <f>입력!D124</f>
        <v>0</v>
      </c>
      <c r="E21" s="554">
        <f>입력!E124</f>
        <v>0</v>
      </c>
      <c r="F21" s="554">
        <f>입력!F124</f>
        <v>0</v>
      </c>
      <c r="G21" s="89" t="str">
        <f>IF(F21=0,"",입력!G124&amp;"."&amp;RIGHT("0"&amp;입력!H124,2))</f>
        <v/>
      </c>
      <c r="H21" s="1142">
        <f>IF(입력!K124&gt;0.58,0.58,입력!K124)</f>
        <v>0</v>
      </c>
      <c r="I21" s="1127"/>
      <c r="J21" s="98"/>
      <c r="L21" s="88"/>
    </row>
    <row r="22" spans="1:12" ht="12.75" customHeight="1" x14ac:dyDescent="0.3">
      <c r="A22" s="1133"/>
      <c r="B22" s="1134"/>
      <c r="C22" s="89">
        <f>입력!C125</f>
        <v>0</v>
      </c>
      <c r="D22" s="89">
        <f>입력!D125</f>
        <v>0</v>
      </c>
      <c r="E22" s="554">
        <f>입력!E125</f>
        <v>0</v>
      </c>
      <c r="F22" s="554">
        <f>입력!F125</f>
        <v>0</v>
      </c>
      <c r="G22" s="89" t="str">
        <f>IF(F22=0,"",입력!G125&amp;"."&amp;RIGHT("0"&amp;입력!H125,2))</f>
        <v/>
      </c>
      <c r="H22" s="1137"/>
      <c r="I22" s="1127"/>
      <c r="J22" s="98"/>
      <c r="L22" s="88"/>
    </row>
    <row r="23" spans="1:12" ht="12.75" customHeight="1" x14ac:dyDescent="0.3">
      <c r="A23" s="1133"/>
      <c r="B23" s="1134"/>
      <c r="C23" s="89">
        <f>입력!C126</f>
        <v>0</v>
      </c>
      <c r="D23" s="89">
        <f>입력!D126</f>
        <v>0</v>
      </c>
      <c r="E23" s="554">
        <f>입력!E126</f>
        <v>0</v>
      </c>
      <c r="F23" s="554">
        <f>입력!F126</f>
        <v>0</v>
      </c>
      <c r="G23" s="89" t="str">
        <f>IF(F23=0,"",입력!G126&amp;"."&amp;RIGHT("0"&amp;입력!H126,2))</f>
        <v/>
      </c>
      <c r="H23" s="1137"/>
      <c r="I23" s="1127"/>
      <c r="J23" s="98"/>
      <c r="L23" s="88"/>
    </row>
    <row r="24" spans="1:12" ht="12.75" customHeight="1" thickBot="1" x14ac:dyDescent="0.35">
      <c r="A24" s="1147"/>
      <c r="B24" s="1148"/>
      <c r="C24" s="727">
        <f>입력!C127</f>
        <v>0</v>
      </c>
      <c r="D24" s="727">
        <f>입력!D127</f>
        <v>0</v>
      </c>
      <c r="E24" s="728">
        <f>입력!E127</f>
        <v>0</v>
      </c>
      <c r="F24" s="728">
        <f>입력!F127</f>
        <v>0</v>
      </c>
      <c r="G24" s="727" t="str">
        <f>IF(F24=0,"",입력!G127&amp;"."&amp;RIGHT("0"&amp;입력!H127,2))</f>
        <v/>
      </c>
      <c r="H24" s="1141"/>
      <c r="I24" s="1128"/>
      <c r="J24" s="98"/>
      <c r="L24" s="88"/>
    </row>
    <row r="25" spans="1:12" ht="12.75" customHeight="1" x14ac:dyDescent="0.3">
      <c r="A25" s="1143" t="str">
        <f>입력!B128</f>
        <v>(공통)재외파견경력</v>
      </c>
      <c r="B25" s="1144"/>
      <c r="C25" s="730">
        <f>입력!C128</f>
        <v>0</v>
      </c>
      <c r="D25" s="730">
        <f>입력!D128</f>
        <v>0</v>
      </c>
      <c r="E25" s="731">
        <f>입력!E128</f>
        <v>0</v>
      </c>
      <c r="F25" s="731">
        <f>입력!F128</f>
        <v>0</v>
      </c>
      <c r="G25" s="730" t="str">
        <f>IF(F25=0,"",입력!G128&amp;"."&amp;RIGHT("0"&amp;입력!H128,2))</f>
        <v/>
      </c>
      <c r="H25" s="732">
        <f>IF(입력!K128&gt;0.5,0.5,입력!K128)</f>
        <v>0</v>
      </c>
      <c r="I25" s="1139">
        <f>IF(SUM(H25:H43)&gt;1.8,1.8,SUM(H25:H43))</f>
        <v>0</v>
      </c>
      <c r="J25" s="442">
        <f>IF(SUM(H25:H43)&gt;1.9,1.9,SUM(H25:H43))</f>
        <v>0</v>
      </c>
      <c r="L25" s="88"/>
    </row>
    <row r="26" spans="1:12" ht="13.5" customHeight="1" x14ac:dyDescent="0.3">
      <c r="A26" s="1149" t="str">
        <f>입력!B129</f>
        <v>EBS, 낙동강, 진산/남해/칠북 분원/특수교육원 근무경력</v>
      </c>
      <c r="B26" s="1150"/>
      <c r="C26" s="89">
        <f>입력!C129</f>
        <v>0</v>
      </c>
      <c r="D26" s="89">
        <f>입력!D129</f>
        <v>0</v>
      </c>
      <c r="E26" s="554">
        <f>입력!E129</f>
        <v>0</v>
      </c>
      <c r="F26" s="554">
        <f>입력!F129</f>
        <v>0</v>
      </c>
      <c r="G26" s="89" t="str">
        <f>IF(F26=0,"",입력!G129&amp;"."&amp;RIGHT("0"&amp;입력!H129,2))</f>
        <v/>
      </c>
      <c r="H26" s="1142">
        <f>IF(입력!K129&gt;0.4,0.4,입력!K129)</f>
        <v>0</v>
      </c>
      <c r="I26" s="1127"/>
      <c r="J26" s="98"/>
      <c r="L26" s="88"/>
    </row>
    <row r="27" spans="1:12" ht="17.25" customHeight="1" x14ac:dyDescent="0.3">
      <c r="A27" s="1151"/>
      <c r="B27" s="1152"/>
      <c r="C27" s="89">
        <f>입력!C130</f>
        <v>0</v>
      </c>
      <c r="D27" s="89">
        <f>입력!D130</f>
        <v>0</v>
      </c>
      <c r="E27" s="554">
        <f>입력!E130</f>
        <v>0</v>
      </c>
      <c r="F27" s="554">
        <f>입력!F130</f>
        <v>0</v>
      </c>
      <c r="G27" s="89" t="str">
        <f>IF(F27=0,"",입력!G130&amp;"."&amp;RIGHT("0"&amp;입력!H130,2))</f>
        <v/>
      </c>
      <c r="H27" s="1138"/>
      <c r="I27" s="1127"/>
      <c r="J27" s="98"/>
      <c r="L27" s="88"/>
    </row>
    <row r="28" spans="1:12" ht="12.75" customHeight="1" x14ac:dyDescent="0.3">
      <c r="A28" s="1149" t="str">
        <f>입력!B131</f>
        <v>도내 교육/행정/연구기관</v>
      </c>
      <c r="B28" s="1150"/>
      <c r="C28" s="89">
        <f>입력!C131</f>
        <v>0</v>
      </c>
      <c r="D28" s="89">
        <f>입력!D131</f>
        <v>0</v>
      </c>
      <c r="E28" s="554">
        <f>입력!E131</f>
        <v>0</v>
      </c>
      <c r="F28" s="554">
        <f>입력!F131</f>
        <v>0</v>
      </c>
      <c r="G28" s="89" t="str">
        <f>IF(F28=0,"",입력!G131&amp;"."&amp;RIGHT("0"&amp;입력!H131,2))</f>
        <v/>
      </c>
      <c r="H28" s="719">
        <f>입력!K131</f>
        <v>0</v>
      </c>
      <c r="I28" s="1127"/>
      <c r="J28" s="98"/>
      <c r="L28" s="88"/>
    </row>
    <row r="29" spans="1:12" ht="12.75" customHeight="1" x14ac:dyDescent="0.3">
      <c r="A29" s="1151"/>
      <c r="B29" s="1152"/>
      <c r="C29" s="89">
        <f>입력!C132</f>
        <v>0</v>
      </c>
      <c r="D29" s="89">
        <f>입력!D132</f>
        <v>0</v>
      </c>
      <c r="E29" s="554">
        <f>입력!E132</f>
        <v>0</v>
      </c>
      <c r="F29" s="554">
        <f>입력!F132</f>
        <v>0</v>
      </c>
      <c r="G29" s="89" t="str">
        <f>IF(F29=0,"",입력!G132&amp;"."&amp;RIGHT("0"&amp;입력!H132,2))</f>
        <v/>
      </c>
      <c r="H29" s="719">
        <f>입력!K132</f>
        <v>0</v>
      </c>
      <c r="I29" s="1127"/>
      <c r="J29" s="98"/>
      <c r="L29" s="88"/>
    </row>
    <row r="30" spans="1:12" ht="12.75" customHeight="1" x14ac:dyDescent="0.3">
      <c r="A30" s="1155" t="s">
        <v>1725</v>
      </c>
      <c r="B30" s="1156"/>
      <c r="C30" s="89">
        <f>입력!C133</f>
        <v>0</v>
      </c>
      <c r="D30" s="89">
        <f>입력!D133</f>
        <v>0</v>
      </c>
      <c r="E30" s="554">
        <f>입력!E133</f>
        <v>0</v>
      </c>
      <c r="F30" s="554">
        <f>입력!F133</f>
        <v>0</v>
      </c>
      <c r="G30" s="89" t="str">
        <f>IF(F30=0,"",입력!G133&amp;"."&amp;RIGHT("0"&amp;입력!H133,2))</f>
        <v/>
      </c>
      <c r="H30" s="719">
        <f>입력!K133</f>
        <v>0</v>
      </c>
      <c r="I30" s="1127"/>
      <c r="J30" s="98"/>
      <c r="L30" s="88"/>
    </row>
    <row r="31" spans="1:12" ht="12.75" customHeight="1" x14ac:dyDescent="0.3">
      <c r="A31" s="1117" t="s">
        <v>550</v>
      </c>
      <c r="B31" s="530" t="s">
        <v>997</v>
      </c>
      <c r="C31" s="89">
        <f>입력!C134</f>
        <v>0</v>
      </c>
      <c r="D31" s="89">
        <f>입력!D134</f>
        <v>0</v>
      </c>
      <c r="E31" s="554">
        <f>입력!E134</f>
        <v>0</v>
      </c>
      <c r="F31" s="554">
        <f>입력!F134</f>
        <v>0</v>
      </c>
      <c r="G31" s="89" t="str">
        <f>IF(F31=0,"",입력!G134&amp;"."&amp;RIGHT("0"&amp;입력!H134,2))</f>
        <v/>
      </c>
      <c r="H31" s="556">
        <f>IF(입력!K134&gt;0.9,0.9,입력!K134)</f>
        <v>0</v>
      </c>
      <c r="I31" s="1127"/>
      <c r="J31" s="98"/>
      <c r="L31" s="88"/>
    </row>
    <row r="32" spans="1:12" ht="12.75" customHeight="1" x14ac:dyDescent="0.3">
      <c r="A32" s="1121"/>
      <c r="B32" s="531" t="s">
        <v>998</v>
      </c>
      <c r="C32" s="89">
        <f>입력!C135</f>
        <v>0</v>
      </c>
      <c r="D32" s="89">
        <f>입력!D135</f>
        <v>0</v>
      </c>
      <c r="E32" s="554">
        <f>입력!E135</f>
        <v>0</v>
      </c>
      <c r="F32" s="554">
        <f>입력!F135</f>
        <v>0</v>
      </c>
      <c r="G32" s="89" t="str">
        <f>IF(F32=0,"",입력!G135&amp;"."&amp;RIGHT("0"&amp;입력!H135,2))</f>
        <v/>
      </c>
      <c r="H32" s="556">
        <f>IF(입력!K135&gt;0.6,0.6,입력!K135)</f>
        <v>0</v>
      </c>
      <c r="I32" s="1127"/>
      <c r="J32" s="98"/>
      <c r="L32" s="88"/>
    </row>
    <row r="33" spans="1:12" ht="12.75" customHeight="1" x14ac:dyDescent="0.3">
      <c r="A33" s="1117" t="s">
        <v>551</v>
      </c>
      <c r="B33" s="1118"/>
      <c r="C33" s="89">
        <f>입력!C136</f>
        <v>0</v>
      </c>
      <c r="D33" s="89">
        <f>입력!D136</f>
        <v>0</v>
      </c>
      <c r="E33" s="554">
        <f>입력!E136</f>
        <v>0</v>
      </c>
      <c r="F33" s="554">
        <f>입력!F136</f>
        <v>0</v>
      </c>
      <c r="G33" s="89" t="str">
        <f>IF(F33=0,"",입력!G136&amp;"."&amp;RIGHT("0"&amp;입력!H136,2))</f>
        <v/>
      </c>
      <c r="H33" s="1142">
        <f>IF(입력!K136&gt;0.3,0.3,입력!K136)</f>
        <v>0</v>
      </c>
      <c r="I33" s="1127"/>
      <c r="J33" s="98"/>
      <c r="L33" s="88"/>
    </row>
    <row r="34" spans="1:12" ht="12.75" customHeight="1" x14ac:dyDescent="0.3">
      <c r="A34" s="1121"/>
      <c r="B34" s="1122"/>
      <c r="C34" s="89">
        <f>입력!C137</f>
        <v>0</v>
      </c>
      <c r="D34" s="89">
        <f>입력!D137</f>
        <v>0</v>
      </c>
      <c r="E34" s="554">
        <f>입력!E137</f>
        <v>0</v>
      </c>
      <c r="F34" s="554">
        <f>입력!F137</f>
        <v>0</v>
      </c>
      <c r="G34" s="89" t="str">
        <f>IF(F34=0,"",입력!G137&amp;"."&amp;RIGHT("0"&amp;입력!H137,2))</f>
        <v/>
      </c>
      <c r="H34" s="1138"/>
      <c r="I34" s="1127"/>
      <c r="J34" s="98"/>
      <c r="L34" s="88"/>
    </row>
    <row r="35" spans="1:12" ht="12.75" customHeight="1" x14ac:dyDescent="0.3">
      <c r="A35" s="1163" t="s">
        <v>1741</v>
      </c>
      <c r="B35" s="1118"/>
      <c r="C35" s="1157" t="s">
        <v>1684</v>
      </c>
      <c r="D35" s="1158"/>
      <c r="E35" s="1158"/>
      <c r="F35" s="1158"/>
      <c r="G35" s="1159"/>
      <c r="H35" s="1142">
        <f>IF('농어촌학교 근무경력 '!M6&gt;1.25,1.25,'농어촌학교 근무경력 '!M6)</f>
        <v>0</v>
      </c>
      <c r="I35" s="1127"/>
      <c r="J35" s="98"/>
      <c r="L35" s="88"/>
    </row>
    <row r="36" spans="1:12" ht="10.5" customHeight="1" x14ac:dyDescent="0.3">
      <c r="A36" s="1121"/>
      <c r="B36" s="1122"/>
      <c r="C36" s="1160"/>
      <c r="D36" s="1161"/>
      <c r="E36" s="1161"/>
      <c r="F36" s="1161"/>
      <c r="G36" s="1162"/>
      <c r="H36" s="1138"/>
      <c r="I36" s="1127"/>
      <c r="J36" s="98"/>
      <c r="L36" s="88"/>
    </row>
    <row r="37" spans="1:12" ht="12.75" customHeight="1" x14ac:dyDescent="0.3">
      <c r="A37" s="1117" t="s">
        <v>976</v>
      </c>
      <c r="B37" s="1118"/>
      <c r="C37" s="89">
        <f>입력!C148</f>
        <v>0</v>
      </c>
      <c r="D37" s="89">
        <f>입력!D148</f>
        <v>0</v>
      </c>
      <c r="E37" s="554">
        <f>입력!E148</f>
        <v>0</v>
      </c>
      <c r="F37" s="554">
        <f>입력!F148</f>
        <v>0</v>
      </c>
      <c r="G37" s="89" t="str">
        <f>IF(F37=0,"",입력!G148&amp;"."&amp;RIGHT("0"&amp;입력!H148,2))</f>
        <v/>
      </c>
      <c r="H37" s="1142">
        <f>IF(입력!K148&gt;0.48,0.48,입력!K148)</f>
        <v>0</v>
      </c>
      <c r="I37" s="1127"/>
      <c r="J37" s="98"/>
      <c r="L37" s="88"/>
    </row>
    <row r="38" spans="1:12" ht="12.75" customHeight="1" x14ac:dyDescent="0.3">
      <c r="A38" s="1119"/>
      <c r="B38" s="1120"/>
      <c r="C38" s="89">
        <f>입력!C149</f>
        <v>0</v>
      </c>
      <c r="D38" s="89">
        <f>입력!D149</f>
        <v>0</v>
      </c>
      <c r="E38" s="554">
        <f>입력!E149</f>
        <v>0</v>
      </c>
      <c r="F38" s="554">
        <f>입력!F149</f>
        <v>0</v>
      </c>
      <c r="G38" s="89" t="str">
        <f>IF(F38=0,"",입력!G149&amp;"."&amp;RIGHT("0"&amp;입력!H149,2))</f>
        <v/>
      </c>
      <c r="H38" s="1137"/>
      <c r="I38" s="1127"/>
      <c r="J38" s="98"/>
      <c r="L38" s="88"/>
    </row>
    <row r="39" spans="1:12" ht="12.75" customHeight="1" x14ac:dyDescent="0.3">
      <c r="A39" s="1119"/>
      <c r="B39" s="1120"/>
      <c r="C39" s="89">
        <f>입력!C150</f>
        <v>0</v>
      </c>
      <c r="D39" s="89">
        <f>입력!D150</f>
        <v>0</v>
      </c>
      <c r="E39" s="554">
        <f>입력!E150</f>
        <v>0</v>
      </c>
      <c r="F39" s="554">
        <f>입력!F150</f>
        <v>0</v>
      </c>
      <c r="G39" s="89" t="str">
        <f>IF(F39=0,"",입력!G150&amp;"."&amp;RIGHT("0"&amp;입력!H150,2))</f>
        <v/>
      </c>
      <c r="H39" s="1137"/>
      <c r="I39" s="1127"/>
      <c r="J39" s="98"/>
      <c r="L39" s="88"/>
    </row>
    <row r="40" spans="1:12" ht="12.75" customHeight="1" x14ac:dyDescent="0.3">
      <c r="A40" s="1119"/>
      <c r="B40" s="1120"/>
      <c r="C40" s="89">
        <f>입력!C151</f>
        <v>0</v>
      </c>
      <c r="D40" s="89">
        <f>입력!D151</f>
        <v>0</v>
      </c>
      <c r="E40" s="554">
        <f>입력!E151</f>
        <v>0</v>
      </c>
      <c r="F40" s="554">
        <f>입력!F151</f>
        <v>0</v>
      </c>
      <c r="G40" s="89" t="str">
        <f>IF(F40=0,"",입력!G151&amp;"."&amp;RIGHT("0"&amp;입력!H151,2))</f>
        <v/>
      </c>
      <c r="H40" s="1137"/>
      <c r="I40" s="1127"/>
      <c r="J40" s="98"/>
      <c r="L40" s="88"/>
    </row>
    <row r="41" spans="1:12" ht="12.75" customHeight="1" x14ac:dyDescent="0.3">
      <c r="A41" s="1119"/>
      <c r="B41" s="1120"/>
      <c r="C41" s="89">
        <f>입력!C152</f>
        <v>0</v>
      </c>
      <c r="D41" s="89">
        <f>입력!D152</f>
        <v>0</v>
      </c>
      <c r="E41" s="554">
        <f>입력!E152</f>
        <v>0</v>
      </c>
      <c r="F41" s="554">
        <f>입력!F152</f>
        <v>0</v>
      </c>
      <c r="G41" s="89" t="str">
        <f>IF(F41=0,"",입력!G152&amp;"."&amp;RIGHT("0"&amp;입력!H152,2))</f>
        <v/>
      </c>
      <c r="H41" s="1137"/>
      <c r="I41" s="1127"/>
      <c r="J41" s="98"/>
      <c r="L41" s="88"/>
    </row>
    <row r="42" spans="1:12" ht="12.75" customHeight="1" x14ac:dyDescent="0.3">
      <c r="A42" s="1121"/>
      <c r="B42" s="1122"/>
      <c r="C42" s="89">
        <f>입력!C153</f>
        <v>0</v>
      </c>
      <c r="D42" s="89">
        <f>입력!D153</f>
        <v>0</v>
      </c>
      <c r="E42" s="554">
        <f>입력!E153</f>
        <v>0</v>
      </c>
      <c r="F42" s="554">
        <f>입력!F153</f>
        <v>0</v>
      </c>
      <c r="G42" s="89" t="str">
        <f>IF(F42=0,"",입력!G153&amp;"."&amp;RIGHT("0"&amp;입력!H153,2))</f>
        <v/>
      </c>
      <c r="H42" s="1138"/>
      <c r="I42" s="1127"/>
      <c r="J42" s="98"/>
      <c r="L42" s="88"/>
    </row>
    <row r="43" spans="1:12" ht="12.75" customHeight="1" thickBot="1" x14ac:dyDescent="0.35">
      <c r="A43" s="1153" t="s">
        <v>949</v>
      </c>
      <c r="B43" s="1154"/>
      <c r="C43" s="727">
        <f>입력!C154</f>
        <v>0</v>
      </c>
      <c r="D43" s="727">
        <f>입력!D154</f>
        <v>0</v>
      </c>
      <c r="E43" s="728">
        <f>입력!E154</f>
        <v>0</v>
      </c>
      <c r="F43" s="728">
        <f>입력!F154</f>
        <v>0</v>
      </c>
      <c r="G43" s="727" t="str">
        <f>IF(F43=0,"",입력!G154&amp;"."&amp;RIGHT("0"&amp;입력!H154,2))</f>
        <v/>
      </c>
      <c r="H43" s="733">
        <f>IF(입력!K154&gt;0.06,0.06,입력!K154)</f>
        <v>0</v>
      </c>
      <c r="I43" s="1128"/>
      <c r="J43" s="98"/>
      <c r="L43" s="88"/>
    </row>
    <row r="44" spans="1:12" ht="12.75" customHeight="1" x14ac:dyDescent="0.3">
      <c r="A44" s="1123" t="s">
        <v>552</v>
      </c>
      <c r="B44" s="1124"/>
      <c r="C44" s="730">
        <f>입력!C155</f>
        <v>0</v>
      </c>
      <c r="D44" s="730">
        <f>입력!D155</f>
        <v>0</v>
      </c>
      <c r="E44" s="731">
        <f>입력!E155</f>
        <v>0</v>
      </c>
      <c r="F44" s="731">
        <f>입력!F155</f>
        <v>0</v>
      </c>
      <c r="G44" s="730" t="str">
        <f>IF(F44=0,"",입력!G155&amp;"."&amp;RIGHT("0"&amp;입력!H155,2))</f>
        <v/>
      </c>
      <c r="H44" s="1140">
        <f>IF(입력!K155&gt;1,1,입력!K155)</f>
        <v>0</v>
      </c>
      <c r="I44" s="1139">
        <f>IF(H44&gt;1,1,H44)</f>
        <v>0</v>
      </c>
      <c r="J44" s="98"/>
      <c r="L44" s="88"/>
    </row>
    <row r="45" spans="1:12" ht="12.75" customHeight="1" thickBot="1" x14ac:dyDescent="0.35">
      <c r="A45" s="1125"/>
      <c r="B45" s="1126"/>
      <c r="C45" s="727">
        <f>입력!C156</f>
        <v>0</v>
      </c>
      <c r="D45" s="727">
        <f>입력!D156</f>
        <v>0</v>
      </c>
      <c r="E45" s="728">
        <f>입력!E156</f>
        <v>0</v>
      </c>
      <c r="F45" s="728">
        <f>입력!F156</f>
        <v>0</v>
      </c>
      <c r="G45" s="727" t="str">
        <f>IF(F45=0,"",입력!G156&amp;"."&amp;RIGHT("0"&amp;입력!H156,2))</f>
        <v/>
      </c>
      <c r="H45" s="1141"/>
      <c r="I45" s="1128"/>
      <c r="J45" s="98"/>
      <c r="L45" s="88"/>
    </row>
    <row r="46" spans="1:12" ht="12.75" customHeight="1" x14ac:dyDescent="0.3">
      <c r="A46" s="1123" t="s">
        <v>553</v>
      </c>
      <c r="B46" s="1124"/>
      <c r="C46" s="730">
        <f>입력!C157</f>
        <v>0</v>
      </c>
      <c r="D46" s="730">
        <f>입력!D157</f>
        <v>0</v>
      </c>
      <c r="E46" s="731">
        <f>입력!E157</f>
        <v>0</v>
      </c>
      <c r="F46" s="731">
        <f>입력!F157</f>
        <v>0</v>
      </c>
      <c r="G46" s="730" t="str">
        <f>IF(F46=0,"",입력!G157&amp;"."&amp;RIGHT("0"&amp;입력!H157,2))</f>
        <v/>
      </c>
      <c r="H46" s="1140">
        <f>IF(입력!K157&gt;1.25,1.25,입력!K157)</f>
        <v>0</v>
      </c>
      <c r="I46" s="1139">
        <f>IF(SUM(H46:H51)&gt;1.25,1.25,SUM(H46:H51))</f>
        <v>0</v>
      </c>
      <c r="J46" s="99"/>
      <c r="L46" s="88"/>
    </row>
    <row r="47" spans="1:12" ht="12.75" customHeight="1" x14ac:dyDescent="0.3">
      <c r="A47" s="1119"/>
      <c r="B47" s="1120"/>
      <c r="C47" s="89">
        <f>입력!C158</f>
        <v>0</v>
      </c>
      <c r="D47" s="89">
        <f>입력!D158</f>
        <v>0</v>
      </c>
      <c r="E47" s="554">
        <f>입력!E158</f>
        <v>0</v>
      </c>
      <c r="F47" s="554">
        <f>입력!F158</f>
        <v>0</v>
      </c>
      <c r="G47" s="89" t="str">
        <f>IF(F47=0,"",입력!G158&amp;"."&amp;RIGHT("0"&amp;입력!H158,2))</f>
        <v/>
      </c>
      <c r="H47" s="1137"/>
      <c r="I47" s="1127"/>
      <c r="J47" s="98"/>
      <c r="L47" s="88"/>
    </row>
    <row r="48" spans="1:12" ht="12.75" customHeight="1" x14ac:dyDescent="0.3">
      <c r="A48" s="1119"/>
      <c r="B48" s="1120"/>
      <c r="C48" s="89">
        <f>입력!C159</f>
        <v>0</v>
      </c>
      <c r="D48" s="89">
        <f>입력!D159</f>
        <v>0</v>
      </c>
      <c r="E48" s="554">
        <f>입력!E159</f>
        <v>0</v>
      </c>
      <c r="F48" s="554">
        <f>입력!F159</f>
        <v>0</v>
      </c>
      <c r="G48" s="89" t="str">
        <f>IF(F48=0,"",입력!G159&amp;"."&amp;RIGHT("0"&amp;입력!H159,2))</f>
        <v/>
      </c>
      <c r="H48" s="1137"/>
      <c r="I48" s="1127"/>
      <c r="J48" s="98"/>
      <c r="L48" s="88"/>
    </row>
    <row r="49" spans="1:77" ht="12.75" customHeight="1" x14ac:dyDescent="0.3">
      <c r="A49" s="1121"/>
      <c r="B49" s="1122"/>
      <c r="C49" s="89">
        <f>입력!C160</f>
        <v>0</v>
      </c>
      <c r="D49" s="89">
        <f>입력!D160</f>
        <v>0</v>
      </c>
      <c r="E49" s="554">
        <f>입력!E160</f>
        <v>0</v>
      </c>
      <c r="F49" s="554">
        <f>입력!F160</f>
        <v>0</v>
      </c>
      <c r="G49" s="89" t="str">
        <f>IF(F49=0,"",입력!G160&amp;"."&amp;RIGHT("0"&amp;입력!H160,2))</f>
        <v/>
      </c>
      <c r="H49" s="1138"/>
      <c r="I49" s="1127"/>
      <c r="J49" s="98"/>
      <c r="L49" s="88"/>
    </row>
    <row r="50" spans="1:77" ht="12.75" customHeight="1" x14ac:dyDescent="0.3">
      <c r="A50" s="1117" t="s">
        <v>554</v>
      </c>
      <c r="B50" s="1118"/>
      <c r="C50" s="89">
        <f>입력!C161</f>
        <v>0</v>
      </c>
      <c r="D50" s="89">
        <f>입력!D161</f>
        <v>0</v>
      </c>
      <c r="E50" s="554">
        <f>입력!E161</f>
        <v>0</v>
      </c>
      <c r="F50" s="554">
        <f>입력!F161</f>
        <v>0</v>
      </c>
      <c r="G50" s="89" t="str">
        <f>IF(F50=0,"",입력!G161&amp;"."&amp;RIGHT("0"&amp;입력!H161,2))</f>
        <v/>
      </c>
      <c r="H50" s="1142">
        <f>IF(입력!K161&gt;0.75,0.75,입력!K161)</f>
        <v>0</v>
      </c>
      <c r="I50" s="1127"/>
      <c r="J50" s="100"/>
      <c r="L50" s="88"/>
    </row>
    <row r="51" spans="1:77" ht="12.75" customHeight="1" thickBot="1" x14ac:dyDescent="0.35">
      <c r="A51" s="1125"/>
      <c r="B51" s="1126"/>
      <c r="C51" s="727">
        <f>입력!C162</f>
        <v>0</v>
      </c>
      <c r="D51" s="727">
        <f>입력!D162</f>
        <v>0</v>
      </c>
      <c r="E51" s="728">
        <f>입력!E162</f>
        <v>0</v>
      </c>
      <c r="F51" s="728">
        <f>입력!F162</f>
        <v>0</v>
      </c>
      <c r="G51" s="727" t="str">
        <f>IF(F51=0,"",입력!G162&amp;"."&amp;RIGHT("0"&amp;입력!H162,2))</f>
        <v/>
      </c>
      <c r="H51" s="1141"/>
      <c r="I51" s="1128"/>
      <c r="J51" s="98"/>
      <c r="L51" s="88"/>
    </row>
    <row r="52" spans="1:77" ht="12.75" customHeight="1" x14ac:dyDescent="0.3">
      <c r="A52" s="1123" t="s">
        <v>555</v>
      </c>
      <c r="B52" s="1124"/>
      <c r="C52" s="730">
        <f>입력!C163</f>
        <v>0</v>
      </c>
      <c r="D52" s="730">
        <f>입력!D163</f>
        <v>0</v>
      </c>
      <c r="E52" s="731">
        <f>입력!E163</f>
        <v>0</v>
      </c>
      <c r="F52" s="731">
        <f>입력!F163</f>
        <v>0</v>
      </c>
      <c r="G52" s="730" t="str">
        <f>IF(F52=0,"",입력!G163&amp;"."&amp;RIGHT("0"&amp;입력!H163,2))</f>
        <v/>
      </c>
      <c r="H52" s="1140">
        <f>IF(입력!K163&gt;0.5,0.5,입력!K163)</f>
        <v>0</v>
      </c>
      <c r="I52" s="1139">
        <f>H52</f>
        <v>0</v>
      </c>
      <c r="J52" s="98"/>
      <c r="L52" s="88"/>
    </row>
    <row r="53" spans="1:77" ht="12.75" customHeight="1" x14ac:dyDescent="0.3">
      <c r="A53" s="1119"/>
      <c r="B53" s="1120"/>
      <c r="C53" s="89">
        <f>입력!C164</f>
        <v>0</v>
      </c>
      <c r="D53" s="89">
        <f>입력!D164</f>
        <v>0</v>
      </c>
      <c r="E53" s="554">
        <f>입력!E164</f>
        <v>0</v>
      </c>
      <c r="F53" s="554">
        <f>입력!F164</f>
        <v>0</v>
      </c>
      <c r="G53" s="89" t="str">
        <f>IF(F53=0,"",입력!G164&amp;"."&amp;RIGHT("0"&amp;입력!H164,2))</f>
        <v/>
      </c>
      <c r="H53" s="1137"/>
      <c r="I53" s="1127"/>
      <c r="J53" s="98"/>
      <c r="L53" s="88"/>
    </row>
    <row r="54" spans="1:77" ht="12.75" customHeight="1" x14ac:dyDescent="0.3">
      <c r="A54" s="1119"/>
      <c r="B54" s="1120"/>
      <c r="C54" s="89">
        <f>입력!C165</f>
        <v>0</v>
      </c>
      <c r="D54" s="89">
        <f>입력!D165</f>
        <v>0</v>
      </c>
      <c r="E54" s="554">
        <f>입력!E165</f>
        <v>0</v>
      </c>
      <c r="F54" s="554">
        <f>입력!F165</f>
        <v>0</v>
      </c>
      <c r="G54" s="89" t="str">
        <f>IF(F54=0,"",입력!G165&amp;"."&amp;RIGHT("0"&amp;입력!H165,2))</f>
        <v/>
      </c>
      <c r="H54" s="1137"/>
      <c r="I54" s="1127"/>
      <c r="J54" s="98"/>
      <c r="L54" s="88"/>
    </row>
    <row r="55" spans="1:77" ht="12.75" customHeight="1" x14ac:dyDescent="0.3">
      <c r="A55" s="1119"/>
      <c r="B55" s="1120"/>
      <c r="C55" s="89">
        <f>입력!C166</f>
        <v>0</v>
      </c>
      <c r="D55" s="89">
        <f>입력!D166</f>
        <v>0</v>
      </c>
      <c r="E55" s="554">
        <f>입력!E166</f>
        <v>0</v>
      </c>
      <c r="F55" s="554">
        <f>입력!F166</f>
        <v>0</v>
      </c>
      <c r="G55" s="89" t="str">
        <f>IF(F55=0,"",입력!G166&amp;"."&amp;RIGHT("0"&amp;입력!H166,2))</f>
        <v/>
      </c>
      <c r="H55" s="1137"/>
      <c r="I55" s="1127"/>
      <c r="J55" s="98"/>
      <c r="L55" s="88"/>
    </row>
    <row r="56" spans="1:77" ht="12.75" customHeight="1" x14ac:dyDescent="0.3">
      <c r="A56" s="1119"/>
      <c r="B56" s="1120"/>
      <c r="C56" s="89">
        <f>입력!C167</f>
        <v>0</v>
      </c>
      <c r="D56" s="89">
        <f>입력!D167</f>
        <v>0</v>
      </c>
      <c r="E56" s="554">
        <f>입력!E167</f>
        <v>0</v>
      </c>
      <c r="F56" s="554">
        <f>입력!F167</f>
        <v>0</v>
      </c>
      <c r="G56" s="89" t="str">
        <f>IF(F56=0,"",입력!G167&amp;"."&amp;RIGHT("0"&amp;입력!H167,2))</f>
        <v/>
      </c>
      <c r="H56" s="1137"/>
      <c r="I56" s="1127"/>
      <c r="J56" s="98"/>
      <c r="L56" s="88"/>
    </row>
    <row r="57" spans="1:77" ht="12.75" customHeight="1" x14ac:dyDescent="0.3">
      <c r="A57" s="1119"/>
      <c r="B57" s="1120"/>
      <c r="C57" s="89">
        <f>입력!C168</f>
        <v>0</v>
      </c>
      <c r="D57" s="89">
        <f>입력!D168</f>
        <v>0</v>
      </c>
      <c r="E57" s="554">
        <f>입력!E168</f>
        <v>0</v>
      </c>
      <c r="F57" s="554">
        <f>입력!F168</f>
        <v>0</v>
      </c>
      <c r="G57" s="89" t="str">
        <f>IF(F57=0,"",입력!G168&amp;"."&amp;RIGHT("0"&amp;입력!H168,2))</f>
        <v/>
      </c>
      <c r="H57" s="1137"/>
      <c r="I57" s="1127"/>
      <c r="J57" s="98"/>
      <c r="L57" s="88"/>
    </row>
    <row r="58" spans="1:77" s="101" customFormat="1" ht="12.75" customHeight="1" thickBot="1" x14ac:dyDescent="0.35">
      <c r="A58" s="1125"/>
      <c r="B58" s="1126"/>
      <c r="C58" s="727">
        <f>입력!C169</f>
        <v>0</v>
      </c>
      <c r="D58" s="727">
        <f>입력!D169</f>
        <v>0</v>
      </c>
      <c r="E58" s="728">
        <f>입력!E169</f>
        <v>0</v>
      </c>
      <c r="F58" s="728">
        <f>입력!F169</f>
        <v>0</v>
      </c>
      <c r="G58" s="727" t="str">
        <f>IF(F58=0,"",입력!G169&amp;"."&amp;RIGHT("0"&amp;입력!H169,2))</f>
        <v/>
      </c>
      <c r="H58" s="1141"/>
      <c r="I58" s="1128"/>
      <c r="J58" s="98"/>
      <c r="K58" s="82"/>
      <c r="L58" s="88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  <c r="AT58" s="82"/>
      <c r="AU58" s="82"/>
      <c r="AV58" s="82"/>
      <c r="AW58" s="82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82"/>
      <c r="BN58" s="82"/>
      <c r="BO58" s="82"/>
      <c r="BP58" s="82"/>
      <c r="BQ58" s="82"/>
      <c r="BR58" s="82"/>
      <c r="BS58" s="82"/>
      <c r="BT58" s="82"/>
      <c r="BU58" s="82"/>
      <c r="BV58" s="82"/>
      <c r="BW58" s="82"/>
      <c r="BX58" s="82"/>
      <c r="BY58" s="82"/>
    </row>
    <row r="59" spans="1:77" ht="12.75" customHeight="1" x14ac:dyDescent="0.3">
      <c r="A59" s="1092" t="s">
        <v>405</v>
      </c>
      <c r="B59" s="1093"/>
      <c r="C59" s="1093"/>
      <c r="D59" s="1093"/>
      <c r="E59" s="1093"/>
      <c r="F59" s="1093"/>
      <c r="G59" s="1093"/>
      <c r="H59" s="1094"/>
      <c r="I59" s="734">
        <f>SUM(I10:I58)</f>
        <v>0</v>
      </c>
    </row>
    <row r="60" spans="1:77" ht="12.75" customHeight="1" x14ac:dyDescent="0.3">
      <c r="A60" s="450" t="s">
        <v>406</v>
      </c>
      <c r="B60" s="451"/>
      <c r="C60" s="451"/>
      <c r="D60" s="451"/>
      <c r="E60" s="451"/>
      <c r="F60" s="451"/>
      <c r="G60" s="451"/>
      <c r="H60" s="451"/>
      <c r="I60" s="452"/>
    </row>
    <row r="61" spans="1:77" ht="12.75" customHeight="1" x14ac:dyDescent="0.3">
      <c r="A61" s="1113" t="s">
        <v>19</v>
      </c>
      <c r="B61" s="1096"/>
      <c r="C61" s="1097" t="s">
        <v>24</v>
      </c>
      <c r="D61" s="1097"/>
      <c r="E61" s="1097" t="s">
        <v>2</v>
      </c>
      <c r="F61" s="1097"/>
      <c r="G61" s="616" t="s">
        <v>22</v>
      </c>
      <c r="H61" s="1101" t="s">
        <v>23</v>
      </c>
      <c r="I61" s="1102"/>
    </row>
    <row r="62" spans="1:77" ht="12.75" customHeight="1" x14ac:dyDescent="0.3">
      <c r="A62" s="1114" t="s">
        <v>20</v>
      </c>
      <c r="B62" s="1115"/>
      <c r="C62" s="1112" t="str">
        <f>입력!$D$35</f>
        <v>경원중학교</v>
      </c>
      <c r="D62" s="1112"/>
      <c r="E62" s="1112" t="str">
        <f>입력!$D$36</f>
        <v>교감</v>
      </c>
      <c r="F62" s="1112"/>
      <c r="G62" s="619" t="str">
        <f>입력!$D$37</f>
        <v>김교감</v>
      </c>
      <c r="H62" s="1110" t="s">
        <v>391</v>
      </c>
      <c r="I62" s="1111"/>
    </row>
    <row r="63" spans="1:77" ht="12.75" customHeight="1" x14ac:dyDescent="0.3">
      <c r="A63" s="1116" t="s">
        <v>21</v>
      </c>
      <c r="B63" s="1104"/>
      <c r="C63" s="1105" t="str">
        <f>입력!$D$38</f>
        <v>경원중학교</v>
      </c>
      <c r="D63" s="1105"/>
      <c r="E63" s="1105" t="str">
        <f>입력!$D$39</f>
        <v>교장</v>
      </c>
      <c r="F63" s="1105"/>
      <c r="G63" s="618" t="str">
        <f>입력!$D$40</f>
        <v>이교장</v>
      </c>
      <c r="H63" s="1106" t="s">
        <v>391</v>
      </c>
      <c r="I63" s="1107"/>
    </row>
    <row r="64" spans="1:77" ht="14.1" customHeight="1" x14ac:dyDescent="0.3">
      <c r="A64" s="81"/>
      <c r="B64" s="81"/>
    </row>
  </sheetData>
  <sheetProtection algorithmName="SHA-512" hashValue="8AiUBnJuJHxIZq1pDWPFuHN9BREsrolP1LRFdr6TZeTfwuTya278YAM60PRHte2JFxYJJd8Lkl6J4tYhSN/7Fg==" saltValue="YXZL8FC9u9Tw/es9QpL30Q==" spinCount="100000" sheet="1" objects="1" scenarios="1" selectLockedCells="1"/>
  <mergeCells count="65">
    <mergeCell ref="A25:B25"/>
    <mergeCell ref="A21:B24"/>
    <mergeCell ref="A13:B20"/>
    <mergeCell ref="H13:H20"/>
    <mergeCell ref="H52:H58"/>
    <mergeCell ref="H21:H24"/>
    <mergeCell ref="A26:B27"/>
    <mergeCell ref="A31:A32"/>
    <mergeCell ref="A33:B34"/>
    <mergeCell ref="A28:B29"/>
    <mergeCell ref="A43:B43"/>
    <mergeCell ref="A30:B30"/>
    <mergeCell ref="A50:B51"/>
    <mergeCell ref="A46:B49"/>
    <mergeCell ref="C35:G36"/>
    <mergeCell ref="A35:B36"/>
    <mergeCell ref="I52:I58"/>
    <mergeCell ref="I25:I43"/>
    <mergeCell ref="I44:I45"/>
    <mergeCell ref="H44:H45"/>
    <mergeCell ref="H46:H49"/>
    <mergeCell ref="I46:I51"/>
    <mergeCell ref="H50:H51"/>
    <mergeCell ref="H35:H36"/>
    <mergeCell ref="H37:H42"/>
    <mergeCell ref="H26:H27"/>
    <mergeCell ref="H33:H34"/>
    <mergeCell ref="G8:G9"/>
    <mergeCell ref="I10:I24"/>
    <mergeCell ref="H8:H9"/>
    <mergeCell ref="E8:F8"/>
    <mergeCell ref="A8:B9"/>
    <mergeCell ref="A10:B12"/>
    <mergeCell ref="H10:H12"/>
    <mergeCell ref="A61:B61"/>
    <mergeCell ref="A62:B62"/>
    <mergeCell ref="A63:B63"/>
    <mergeCell ref="A37:B42"/>
    <mergeCell ref="A44:B45"/>
    <mergeCell ref="A52:B58"/>
    <mergeCell ref="C63:D63"/>
    <mergeCell ref="E63:F63"/>
    <mergeCell ref="C61:D61"/>
    <mergeCell ref="E61:F61"/>
    <mergeCell ref="H61:I61"/>
    <mergeCell ref="H62:I62"/>
    <mergeCell ref="H63:I63"/>
    <mergeCell ref="C62:D62"/>
    <mergeCell ref="E62:F62"/>
    <mergeCell ref="A2:I2"/>
    <mergeCell ref="A3:I3"/>
    <mergeCell ref="A7:I7"/>
    <mergeCell ref="I8:I9"/>
    <mergeCell ref="A59:H59"/>
    <mergeCell ref="A5:C5"/>
    <mergeCell ref="D5:E5"/>
    <mergeCell ref="F5:G5"/>
    <mergeCell ref="A4:I4"/>
    <mergeCell ref="H5:I5"/>
    <mergeCell ref="A6:C6"/>
    <mergeCell ref="D6:E6"/>
    <mergeCell ref="F6:G6"/>
    <mergeCell ref="H6:I6"/>
    <mergeCell ref="D8:D9"/>
    <mergeCell ref="C8:C9"/>
  </mergeCells>
  <phoneticPr fontId="3" type="noConversion"/>
  <printOptions horizontalCentered="1"/>
  <pageMargins left="0.39370078740157483" right="0.39370078740157483" top="0.71" bottom="0.28999999999999998" header="0" footer="0"/>
  <pageSetup paperSize="9" scale="92" orientation="portrait" r:id="rId1"/>
  <ignoredErrors>
    <ignoredError sqref="C31:F31 C33:F33 C57:F58 C55:F55 C44:F52 C25:F26 C11:F13 C14:F15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2" operator="greaterThan" id="{60C8698A-185B-4D7B-BA58-4A021F7AA725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F37 F40:F52 F55:F57 F25:F34 F10:F15</xm:sqref>
        </x14:conditionalFormatting>
        <x14:conditionalFormatting xmlns:xm="http://schemas.microsoft.com/office/excel/2006/main">
          <x14:cfRule type="cellIs" priority="9" operator="greaterThan" id="{75D9D495-6211-4CF0-B9B4-363E7B711FF8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F39</xm:sqref>
        </x14:conditionalFormatting>
        <x14:conditionalFormatting xmlns:xm="http://schemas.microsoft.com/office/excel/2006/main">
          <x14:cfRule type="cellIs" priority="8" operator="greaterThan" id="{9B3B6989-4EF8-4CE5-B8FD-00873D19DD88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F38</xm:sqref>
        </x14:conditionalFormatting>
        <x14:conditionalFormatting xmlns:xm="http://schemas.microsoft.com/office/excel/2006/main">
          <x14:cfRule type="cellIs" priority="7" operator="greaterThan" id="{2C7B499C-1D1F-4EBF-AC63-2E510AC411B8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ellIs" priority="6" operator="greaterThan" id="{FC7A4BEB-DE58-4092-B0CE-827CFC02B779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ellIs" priority="3" operator="greaterThan" id="{AA1194CC-9EDE-4049-8D77-DD1B11922ACA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F16:F17 F19:F21 F23:F24</xm:sqref>
        </x14:conditionalFormatting>
        <x14:conditionalFormatting xmlns:xm="http://schemas.microsoft.com/office/excel/2006/main">
          <x14:cfRule type="cellIs" priority="2" operator="greaterThan" id="{87901F9D-516C-47B6-BDE1-08BA9ADA2551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F18</xm:sqref>
        </x14:conditionalFormatting>
        <x14:conditionalFormatting xmlns:xm="http://schemas.microsoft.com/office/excel/2006/main">
          <x14:cfRule type="cellIs" priority="1" operator="greaterThan" id="{052228CE-6E9D-4066-BD54-A575D7409830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F22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6">
    <tabColor rgb="FF0000FF"/>
    <pageSetUpPr fitToPage="1"/>
  </sheetPr>
  <dimension ref="A1:I59"/>
  <sheetViews>
    <sheetView showGridLines="0" showZeros="0" view="pageBreakPreview" topLeftCell="A7" zoomScaleNormal="100" zoomScaleSheetLayoutView="100" workbookViewId="0">
      <selection activeCell="F44" sqref="F44"/>
    </sheetView>
  </sheetViews>
  <sheetFormatPr defaultColWidth="11.625" defaultRowHeight="13.35" customHeight="1" x14ac:dyDescent="0.3"/>
  <cols>
    <col min="1" max="6" width="11.625" style="82"/>
    <col min="7" max="7" width="7" style="82" customWidth="1"/>
    <col min="8" max="8" width="6.125" style="82" customWidth="1"/>
    <col min="9" max="16384" width="11.625" style="82"/>
  </cols>
  <sheetData>
    <row r="1" spans="1:8" ht="13.35" customHeight="1" x14ac:dyDescent="0.3">
      <c r="A1" s="81" t="s">
        <v>925</v>
      </c>
    </row>
    <row r="2" spans="1:8" ht="27" customHeight="1" x14ac:dyDescent="0.3">
      <c r="A2" s="1085" t="s">
        <v>1785</v>
      </c>
      <c r="B2" s="1085"/>
      <c r="C2" s="1085"/>
      <c r="D2" s="1085"/>
      <c r="E2" s="1085"/>
      <c r="F2" s="1085"/>
      <c r="G2" s="1085"/>
      <c r="H2" s="1085"/>
    </row>
    <row r="3" spans="1:8" ht="15.75" customHeight="1" x14ac:dyDescent="0.3">
      <c r="A3" s="1086" t="str">
        <f>종합!A3</f>
        <v>(2024.3.31.자 명부작성용)</v>
      </c>
      <c r="B3" s="1086"/>
      <c r="C3" s="1086"/>
      <c r="D3" s="1086"/>
      <c r="E3" s="1086"/>
      <c r="F3" s="1086"/>
      <c r="G3" s="1086"/>
      <c r="H3" s="1086"/>
    </row>
    <row r="4" spans="1:8" ht="13.35" customHeight="1" x14ac:dyDescent="0.3">
      <c r="A4" s="1087" t="s">
        <v>382</v>
      </c>
      <c r="B4" s="1088"/>
      <c r="C4" s="1088"/>
      <c r="D4" s="1088"/>
      <c r="E4" s="1088"/>
      <c r="F4" s="1088"/>
      <c r="G4" s="1088"/>
      <c r="H4" s="1089"/>
    </row>
    <row r="5" spans="1:8" ht="13.35" customHeight="1" x14ac:dyDescent="0.3">
      <c r="A5" s="1095" t="s">
        <v>24</v>
      </c>
      <c r="B5" s="1097"/>
      <c r="C5" s="1097" t="s">
        <v>2</v>
      </c>
      <c r="D5" s="1097"/>
      <c r="E5" s="1097" t="s">
        <v>22</v>
      </c>
      <c r="F5" s="1097"/>
      <c r="G5" s="1101" t="s">
        <v>23</v>
      </c>
      <c r="H5" s="1102"/>
    </row>
    <row r="6" spans="1:8" ht="13.35" customHeight="1" x14ac:dyDescent="0.3">
      <c r="A6" s="1103" t="str">
        <f>입력!$D$20</f>
        <v>경원중</v>
      </c>
      <c r="B6" s="1105"/>
      <c r="C6" s="1105" t="str">
        <f>입력!$D$21</f>
        <v>교사</v>
      </c>
      <c r="D6" s="1105"/>
      <c r="E6" s="1105" t="str">
        <f>입력!$D$22</f>
        <v>홍길동</v>
      </c>
      <c r="F6" s="1101"/>
      <c r="G6" s="1181" t="s">
        <v>397</v>
      </c>
      <c r="H6" s="1182"/>
    </row>
    <row r="7" spans="1:8" ht="13.35" customHeight="1" x14ac:dyDescent="0.3">
      <c r="A7" s="1087" t="s">
        <v>404</v>
      </c>
      <c r="B7" s="1088"/>
      <c r="C7" s="1088"/>
      <c r="D7" s="1088"/>
      <c r="E7" s="1088"/>
      <c r="F7" s="1088"/>
      <c r="G7" s="1183">
        <f>IF(SUM(G11:G28)&gt;1,1,SUM(G11:G28))</f>
        <v>0</v>
      </c>
      <c r="H7" s="1184"/>
    </row>
    <row r="8" spans="1:8" ht="40.5" x14ac:dyDescent="0.3">
      <c r="A8" s="615" t="s">
        <v>444</v>
      </c>
      <c r="B8" s="616" t="s">
        <v>443</v>
      </c>
      <c r="C8" s="616" t="s">
        <v>445</v>
      </c>
      <c r="D8" s="1097" t="s">
        <v>982</v>
      </c>
      <c r="E8" s="1097"/>
      <c r="F8" s="616" t="s">
        <v>446</v>
      </c>
      <c r="G8" s="543" t="s">
        <v>541</v>
      </c>
      <c r="H8" s="382" t="s">
        <v>1001</v>
      </c>
    </row>
    <row r="9" spans="1:8" ht="13.35" customHeight="1" x14ac:dyDescent="0.3">
      <c r="A9" s="83">
        <f>입력!C178</f>
        <v>0</v>
      </c>
      <c r="B9" s="583">
        <f>입력!D178</f>
        <v>0</v>
      </c>
      <c r="C9" s="583">
        <f>입력!E178</f>
        <v>0</v>
      </c>
      <c r="D9" s="583">
        <f>입력!G178</f>
        <v>0</v>
      </c>
      <c r="E9" s="583"/>
      <c r="F9" s="583">
        <f>입력!J178</f>
        <v>0</v>
      </c>
      <c r="G9" s="1188" t="str">
        <f>입력!K178</f>
        <v>미이수</v>
      </c>
      <c r="H9" s="595"/>
    </row>
    <row r="10" spans="1:8" ht="13.35" customHeight="1" thickBot="1" x14ac:dyDescent="0.35">
      <c r="A10" s="515">
        <f>입력!C179</f>
        <v>0</v>
      </c>
      <c r="B10" s="582">
        <f>입력!D179</f>
        <v>0</v>
      </c>
      <c r="C10" s="582">
        <f>입력!E179</f>
        <v>0</v>
      </c>
      <c r="D10" s="582">
        <f>입력!G179</f>
        <v>0</v>
      </c>
      <c r="E10" s="582"/>
      <c r="F10" s="582">
        <f>입력!J179</f>
        <v>0</v>
      </c>
      <c r="G10" s="1189"/>
      <c r="H10" s="596"/>
    </row>
    <row r="11" spans="1:8" ht="13.35" customHeight="1" x14ac:dyDescent="0.3">
      <c r="A11" s="514">
        <f>입력!C180</f>
        <v>0</v>
      </c>
      <c r="B11" s="584">
        <f>입력!D180</f>
        <v>0</v>
      </c>
      <c r="C11" s="584">
        <f>입력!E180</f>
        <v>0</v>
      </c>
      <c r="D11" s="584">
        <f>입력!G180</f>
        <v>0</v>
      </c>
      <c r="E11" s="584"/>
      <c r="F11" s="584">
        <f>입력!J180</f>
        <v>0</v>
      </c>
      <c r="G11" s="597" t="str">
        <f>입력!K180</f>
        <v/>
      </c>
      <c r="H11" s="1185">
        <f>IF(SUM(G11:G28)&gt;1,1,SUM(G11:G28))</f>
        <v>0</v>
      </c>
    </row>
    <row r="12" spans="1:8" ht="13.35" customHeight="1" x14ac:dyDescent="0.3">
      <c r="A12" s="83">
        <f>입력!C181</f>
        <v>0</v>
      </c>
      <c r="B12" s="583">
        <f>입력!D181</f>
        <v>0</v>
      </c>
      <c r="C12" s="583">
        <f>입력!E181</f>
        <v>0</v>
      </c>
      <c r="D12" s="583">
        <f>입력!G181</f>
        <v>0</v>
      </c>
      <c r="E12" s="583"/>
      <c r="F12" s="583">
        <f>입력!J181</f>
        <v>0</v>
      </c>
      <c r="G12" s="598" t="str">
        <f>입력!K181</f>
        <v/>
      </c>
      <c r="H12" s="1186"/>
    </row>
    <row r="13" spans="1:8" ht="13.35" customHeight="1" x14ac:dyDescent="0.3">
      <c r="A13" s="83">
        <f>입력!C182</f>
        <v>0</v>
      </c>
      <c r="B13" s="583">
        <f>입력!D182</f>
        <v>0</v>
      </c>
      <c r="C13" s="583">
        <f>입력!E182</f>
        <v>0</v>
      </c>
      <c r="D13" s="583">
        <f>입력!G182</f>
        <v>0</v>
      </c>
      <c r="E13" s="583"/>
      <c r="F13" s="583">
        <f>입력!J182</f>
        <v>0</v>
      </c>
      <c r="G13" s="598" t="str">
        <f>입력!K182</f>
        <v/>
      </c>
      <c r="H13" s="1186"/>
    </row>
    <row r="14" spans="1:8" ht="13.35" customHeight="1" x14ac:dyDescent="0.3">
      <c r="A14" s="83">
        <f>입력!C183</f>
        <v>0</v>
      </c>
      <c r="B14" s="583">
        <f>입력!D183</f>
        <v>0</v>
      </c>
      <c r="C14" s="583">
        <f>입력!E183</f>
        <v>0</v>
      </c>
      <c r="D14" s="583">
        <f>입력!G183</f>
        <v>0</v>
      </c>
      <c r="E14" s="583"/>
      <c r="F14" s="583">
        <f>입력!J183</f>
        <v>0</v>
      </c>
      <c r="G14" s="598" t="str">
        <f>입력!K183</f>
        <v/>
      </c>
      <c r="H14" s="1186"/>
    </row>
    <row r="15" spans="1:8" ht="13.35" customHeight="1" x14ac:dyDescent="0.3">
      <c r="A15" s="83">
        <f>입력!C184</f>
        <v>0</v>
      </c>
      <c r="B15" s="583">
        <f>입력!D184</f>
        <v>0</v>
      </c>
      <c r="C15" s="583">
        <f>입력!E184</f>
        <v>0</v>
      </c>
      <c r="D15" s="583">
        <f>입력!G184</f>
        <v>0</v>
      </c>
      <c r="E15" s="583"/>
      <c r="F15" s="583">
        <f>입력!J184</f>
        <v>0</v>
      </c>
      <c r="G15" s="598" t="str">
        <f>입력!K184</f>
        <v/>
      </c>
      <c r="H15" s="1186"/>
    </row>
    <row r="16" spans="1:8" ht="13.35" customHeight="1" x14ac:dyDescent="0.3">
      <c r="A16" s="83">
        <f>입력!C185</f>
        <v>0</v>
      </c>
      <c r="B16" s="583">
        <f>입력!D185</f>
        <v>0</v>
      </c>
      <c r="C16" s="583">
        <f>입력!E185</f>
        <v>0</v>
      </c>
      <c r="D16" s="583">
        <f>입력!G185</f>
        <v>0</v>
      </c>
      <c r="E16" s="583"/>
      <c r="F16" s="583">
        <f>입력!J185</f>
        <v>0</v>
      </c>
      <c r="G16" s="598" t="str">
        <f>입력!K185</f>
        <v/>
      </c>
      <c r="H16" s="1186"/>
    </row>
    <row r="17" spans="1:9" ht="13.35" customHeight="1" x14ac:dyDescent="0.3">
      <c r="A17" s="83">
        <f>입력!C186</f>
        <v>0</v>
      </c>
      <c r="B17" s="583">
        <f>입력!D186</f>
        <v>0</v>
      </c>
      <c r="C17" s="583">
        <f>입력!E186</f>
        <v>0</v>
      </c>
      <c r="D17" s="583">
        <f>입력!G186</f>
        <v>0</v>
      </c>
      <c r="E17" s="583"/>
      <c r="F17" s="583">
        <f>입력!J186</f>
        <v>0</v>
      </c>
      <c r="G17" s="598" t="str">
        <f>입력!K186</f>
        <v/>
      </c>
      <c r="H17" s="1186"/>
    </row>
    <row r="18" spans="1:9" ht="13.35" customHeight="1" x14ac:dyDescent="0.3">
      <c r="A18" s="83">
        <f>입력!C187</f>
        <v>0</v>
      </c>
      <c r="B18" s="583">
        <f>입력!D187</f>
        <v>0</v>
      </c>
      <c r="C18" s="583">
        <f>입력!E187</f>
        <v>0</v>
      </c>
      <c r="D18" s="583">
        <f>입력!G187</f>
        <v>0</v>
      </c>
      <c r="E18" s="583"/>
      <c r="F18" s="583">
        <f>입력!J187</f>
        <v>0</v>
      </c>
      <c r="G18" s="598" t="str">
        <f>입력!K187</f>
        <v/>
      </c>
      <c r="H18" s="1186"/>
    </row>
    <row r="19" spans="1:9" ht="13.35" customHeight="1" x14ac:dyDescent="0.3">
      <c r="A19" s="83">
        <f>입력!C188</f>
        <v>0</v>
      </c>
      <c r="B19" s="583">
        <f>입력!D188</f>
        <v>0</v>
      </c>
      <c r="C19" s="583">
        <f>입력!E188</f>
        <v>0</v>
      </c>
      <c r="D19" s="583">
        <f>입력!G188</f>
        <v>0</v>
      </c>
      <c r="E19" s="583"/>
      <c r="F19" s="583">
        <f>입력!J188</f>
        <v>0</v>
      </c>
      <c r="G19" s="598" t="str">
        <f>입력!K188</f>
        <v/>
      </c>
      <c r="H19" s="1186"/>
    </row>
    <row r="20" spans="1:9" ht="13.35" customHeight="1" x14ac:dyDescent="0.3">
      <c r="A20" s="83">
        <f>입력!C189</f>
        <v>0</v>
      </c>
      <c r="B20" s="583">
        <f>입력!D189</f>
        <v>0</v>
      </c>
      <c r="C20" s="583">
        <f>입력!E189</f>
        <v>0</v>
      </c>
      <c r="D20" s="583">
        <f>입력!G189</f>
        <v>0</v>
      </c>
      <c r="E20" s="583"/>
      <c r="F20" s="583">
        <f>입력!J189</f>
        <v>0</v>
      </c>
      <c r="G20" s="598" t="str">
        <f>입력!K189</f>
        <v/>
      </c>
      <c r="H20" s="1186"/>
    </row>
    <row r="21" spans="1:9" ht="13.35" customHeight="1" x14ac:dyDescent="0.3">
      <c r="A21" s="83">
        <f>입력!C190</f>
        <v>0</v>
      </c>
      <c r="B21" s="583">
        <f>입력!D190</f>
        <v>0</v>
      </c>
      <c r="C21" s="583">
        <f>입력!E190</f>
        <v>0</v>
      </c>
      <c r="D21" s="583">
        <f>입력!G190</f>
        <v>0</v>
      </c>
      <c r="E21" s="583"/>
      <c r="F21" s="583">
        <f>입력!J190</f>
        <v>0</v>
      </c>
      <c r="G21" s="598" t="str">
        <f>입력!K190</f>
        <v/>
      </c>
      <c r="H21" s="1186"/>
    </row>
    <row r="22" spans="1:9" ht="13.35" customHeight="1" x14ac:dyDescent="0.3">
      <c r="A22" s="83">
        <f>입력!C191</f>
        <v>0</v>
      </c>
      <c r="B22" s="583">
        <f>입력!D191</f>
        <v>0</v>
      </c>
      <c r="C22" s="583">
        <f>입력!E191</f>
        <v>0</v>
      </c>
      <c r="D22" s="583">
        <f>입력!G191</f>
        <v>0</v>
      </c>
      <c r="E22" s="583"/>
      <c r="F22" s="583">
        <f>입력!J191</f>
        <v>0</v>
      </c>
      <c r="G22" s="598" t="str">
        <f>입력!K191</f>
        <v/>
      </c>
      <c r="H22" s="1186"/>
    </row>
    <row r="23" spans="1:9" ht="13.35" customHeight="1" x14ac:dyDescent="0.3">
      <c r="A23" s="83">
        <f>입력!C192</f>
        <v>0</v>
      </c>
      <c r="B23" s="583">
        <f>입력!D192</f>
        <v>0</v>
      </c>
      <c r="C23" s="583">
        <f>입력!E192</f>
        <v>0</v>
      </c>
      <c r="D23" s="583">
        <f>입력!G192</f>
        <v>0</v>
      </c>
      <c r="E23" s="583"/>
      <c r="F23" s="583">
        <f>입력!J192</f>
        <v>0</v>
      </c>
      <c r="G23" s="598" t="str">
        <f>입력!K192</f>
        <v/>
      </c>
      <c r="H23" s="1186"/>
    </row>
    <row r="24" spans="1:9" ht="13.35" customHeight="1" x14ac:dyDescent="0.3">
      <c r="A24" s="83">
        <f>입력!C193</f>
        <v>0</v>
      </c>
      <c r="B24" s="583">
        <f>입력!D193</f>
        <v>0</v>
      </c>
      <c r="C24" s="583">
        <f>입력!E193</f>
        <v>0</v>
      </c>
      <c r="D24" s="583">
        <f>입력!G193</f>
        <v>0</v>
      </c>
      <c r="E24" s="583"/>
      <c r="F24" s="583">
        <f>입력!J193</f>
        <v>0</v>
      </c>
      <c r="G24" s="598" t="str">
        <f>입력!K193</f>
        <v/>
      </c>
      <c r="H24" s="1186"/>
    </row>
    <row r="25" spans="1:9" ht="13.35" customHeight="1" x14ac:dyDescent="0.3">
      <c r="A25" s="83">
        <f>입력!C194</f>
        <v>0</v>
      </c>
      <c r="B25" s="583">
        <f>입력!D194</f>
        <v>0</v>
      </c>
      <c r="C25" s="583">
        <f>입력!E194</f>
        <v>0</v>
      </c>
      <c r="D25" s="583">
        <f>입력!G194</f>
        <v>0</v>
      </c>
      <c r="E25" s="583"/>
      <c r="F25" s="583">
        <f>입력!J194</f>
        <v>0</v>
      </c>
      <c r="G25" s="598" t="str">
        <f>입력!K194</f>
        <v/>
      </c>
      <c r="H25" s="1186"/>
    </row>
    <row r="26" spans="1:9" ht="13.35" customHeight="1" x14ac:dyDescent="0.3">
      <c r="A26" s="83">
        <f>입력!C195</f>
        <v>0</v>
      </c>
      <c r="B26" s="583">
        <f>입력!D195</f>
        <v>0</v>
      </c>
      <c r="C26" s="583">
        <f>입력!E195</f>
        <v>0</v>
      </c>
      <c r="D26" s="583">
        <f>입력!G195</f>
        <v>0</v>
      </c>
      <c r="E26" s="583"/>
      <c r="F26" s="583">
        <f>입력!J195</f>
        <v>0</v>
      </c>
      <c r="G26" s="598" t="str">
        <f>입력!K195</f>
        <v/>
      </c>
      <c r="H26" s="1186"/>
    </row>
    <row r="27" spans="1:9" ht="13.35" customHeight="1" x14ac:dyDescent="0.3">
      <c r="A27" s="83">
        <f>입력!C196</f>
        <v>0</v>
      </c>
      <c r="B27" s="583">
        <f>입력!D196</f>
        <v>0</v>
      </c>
      <c r="C27" s="583">
        <f>입력!E196</f>
        <v>0</v>
      </c>
      <c r="D27" s="583">
        <f>입력!G196</f>
        <v>0</v>
      </c>
      <c r="E27" s="583"/>
      <c r="F27" s="583">
        <f>입력!J196</f>
        <v>0</v>
      </c>
      <c r="G27" s="598" t="str">
        <f>입력!K196</f>
        <v/>
      </c>
      <c r="H27" s="1186"/>
    </row>
    <row r="28" spans="1:9" ht="13.35" customHeight="1" x14ac:dyDescent="0.3">
      <c r="A28" s="84">
        <f>입력!C197</f>
        <v>0</v>
      </c>
      <c r="B28" s="585">
        <f>입력!D197</f>
        <v>0</v>
      </c>
      <c r="C28" s="585">
        <f>입력!E197</f>
        <v>0</v>
      </c>
      <c r="D28" s="585">
        <f>입력!G197</f>
        <v>0</v>
      </c>
      <c r="E28" s="585"/>
      <c r="F28" s="585">
        <f>입력!J197</f>
        <v>0</v>
      </c>
      <c r="G28" s="599" t="str">
        <f>입력!K197</f>
        <v/>
      </c>
      <c r="H28" s="1187"/>
    </row>
    <row r="29" spans="1:9" ht="13.35" customHeight="1" x14ac:dyDescent="0.3">
      <c r="A29" s="1166" t="s">
        <v>540</v>
      </c>
      <c r="B29" s="1167"/>
      <c r="C29" s="1167"/>
      <c r="D29" s="1167"/>
      <c r="E29" s="1167"/>
      <c r="F29" s="1167"/>
      <c r="G29" s="1193">
        <f>IF(SUM(H31:H53)&gt;1.8,1.8,SUM(H31:H53))</f>
        <v>0</v>
      </c>
      <c r="H29" s="1194"/>
      <c r="I29" s="443"/>
    </row>
    <row r="30" spans="1:9" ht="40.5" x14ac:dyDescent="0.3">
      <c r="A30" s="85" t="s">
        <v>543</v>
      </c>
      <c r="B30" s="614" t="s">
        <v>424</v>
      </c>
      <c r="C30" s="614" t="s">
        <v>427</v>
      </c>
      <c r="D30" s="614" t="s">
        <v>531</v>
      </c>
      <c r="E30" s="86" t="s">
        <v>532</v>
      </c>
      <c r="F30" s="87" t="s">
        <v>442</v>
      </c>
      <c r="G30" s="544" t="s">
        <v>60</v>
      </c>
      <c r="H30" s="542" t="s">
        <v>1002</v>
      </c>
    </row>
    <row r="31" spans="1:9" ht="13.35" customHeight="1" x14ac:dyDescent="0.3">
      <c r="A31" s="1168" t="s">
        <v>544</v>
      </c>
      <c r="B31" s="89">
        <f>입력!C201</f>
        <v>0</v>
      </c>
      <c r="C31" s="89">
        <f>입력!D201</f>
        <v>0</v>
      </c>
      <c r="D31" s="89">
        <f>입력!E201</f>
        <v>0</v>
      </c>
      <c r="E31" s="90">
        <f>입력!H201</f>
        <v>0</v>
      </c>
      <c r="F31" s="398" t="str">
        <f t="shared" ref="F31:F40" si="0">IF(E31=0,"","0.1000")</f>
        <v/>
      </c>
      <c r="G31" s="1202">
        <f>IF(입력!L201&gt;1,1,입력!L201)</f>
        <v>0</v>
      </c>
      <c r="H31" s="1199">
        <f>IF(G31&gt;1,1,G31)</f>
        <v>0</v>
      </c>
    </row>
    <row r="32" spans="1:9" ht="13.35" customHeight="1" x14ac:dyDescent="0.3">
      <c r="A32" s="1168"/>
      <c r="B32" s="89">
        <f>입력!C202</f>
        <v>0</v>
      </c>
      <c r="C32" s="89">
        <f>입력!D202</f>
        <v>0</v>
      </c>
      <c r="D32" s="90">
        <f>입력!E202</f>
        <v>0</v>
      </c>
      <c r="E32" s="90">
        <f>입력!H202</f>
        <v>0</v>
      </c>
      <c r="F32" s="398" t="str">
        <f t="shared" si="0"/>
        <v/>
      </c>
      <c r="G32" s="1191"/>
      <c r="H32" s="1200"/>
    </row>
    <row r="33" spans="1:8" ht="13.35" customHeight="1" x14ac:dyDescent="0.3">
      <c r="A33" s="1168"/>
      <c r="B33" s="89">
        <f>입력!C203</f>
        <v>0</v>
      </c>
      <c r="C33" s="89">
        <f>입력!D203</f>
        <v>0</v>
      </c>
      <c r="D33" s="90">
        <f>입력!E203</f>
        <v>0</v>
      </c>
      <c r="E33" s="90">
        <f>입력!H203</f>
        <v>0</v>
      </c>
      <c r="F33" s="398" t="str">
        <f t="shared" si="0"/>
        <v/>
      </c>
      <c r="G33" s="1191"/>
      <c r="H33" s="1200"/>
    </row>
    <row r="34" spans="1:8" ht="13.35" customHeight="1" x14ac:dyDescent="0.3">
      <c r="A34" s="1168"/>
      <c r="B34" s="89">
        <f>입력!C204</f>
        <v>0</v>
      </c>
      <c r="C34" s="89">
        <f>입력!D204</f>
        <v>0</v>
      </c>
      <c r="D34" s="90">
        <f>입력!E204</f>
        <v>0</v>
      </c>
      <c r="E34" s="90">
        <f>입력!H204</f>
        <v>0</v>
      </c>
      <c r="F34" s="398" t="str">
        <f t="shared" si="0"/>
        <v/>
      </c>
      <c r="G34" s="1191"/>
      <c r="H34" s="1200"/>
    </row>
    <row r="35" spans="1:8" ht="13.35" customHeight="1" thickBot="1" x14ac:dyDescent="0.35">
      <c r="A35" s="1165"/>
      <c r="B35" s="727">
        <f>입력!C205</f>
        <v>0</v>
      </c>
      <c r="C35" s="727">
        <f>입력!D205</f>
        <v>0</v>
      </c>
      <c r="D35" s="735">
        <f>입력!E205</f>
        <v>0</v>
      </c>
      <c r="E35" s="735">
        <f>입력!H205</f>
        <v>0</v>
      </c>
      <c r="F35" s="736" t="str">
        <f t="shared" si="0"/>
        <v/>
      </c>
      <c r="G35" s="1192"/>
      <c r="H35" s="1201"/>
    </row>
    <row r="36" spans="1:8" ht="13.35" customHeight="1" x14ac:dyDescent="0.3">
      <c r="A36" s="1171" t="s">
        <v>907</v>
      </c>
      <c r="B36" s="730">
        <f>입력!C206</f>
        <v>0</v>
      </c>
      <c r="C36" s="730">
        <f>입력!D206</f>
        <v>0</v>
      </c>
      <c r="D36" s="738">
        <f>입력!E206</f>
        <v>0</v>
      </c>
      <c r="E36" s="738">
        <f>입력!H206</f>
        <v>0</v>
      </c>
      <c r="F36" s="738" t="str">
        <f>IF(E36=0,"",입력!I206)</f>
        <v/>
      </c>
      <c r="G36" s="1190">
        <f>IF(입력!L206&gt;0.2,0.2,입력!L206)</f>
        <v>0</v>
      </c>
      <c r="H36" s="1197">
        <f>IF(SUM(입력!O211,실적가산점!G50:G53)&gt;0.8,0.8,SUM(입력!O211,실적가산점!G50:G53))</f>
        <v>0</v>
      </c>
    </row>
    <row r="37" spans="1:8" ht="13.35" customHeight="1" x14ac:dyDescent="0.3">
      <c r="A37" s="1172"/>
      <c r="B37" s="89">
        <f>입력!C207</f>
        <v>0</v>
      </c>
      <c r="C37" s="89">
        <f>입력!D207</f>
        <v>0</v>
      </c>
      <c r="D37" s="90">
        <f>입력!E207</f>
        <v>0</v>
      </c>
      <c r="E37" s="90">
        <f>입력!H207</f>
        <v>0</v>
      </c>
      <c r="F37" s="90" t="str">
        <f>IF(E37=0,"",입력!I207)</f>
        <v/>
      </c>
      <c r="G37" s="1191"/>
      <c r="H37" s="1197"/>
    </row>
    <row r="38" spans="1:8" ht="13.35" customHeight="1" x14ac:dyDescent="0.3">
      <c r="A38" s="1172"/>
      <c r="B38" s="89">
        <f>입력!C208</f>
        <v>0</v>
      </c>
      <c r="C38" s="89">
        <f>입력!D208</f>
        <v>0</v>
      </c>
      <c r="D38" s="90">
        <f>입력!E208</f>
        <v>0</v>
      </c>
      <c r="E38" s="90">
        <f>입력!H208</f>
        <v>0</v>
      </c>
      <c r="F38" s="90" t="str">
        <f>IF(E38=0,"",입력!I208)</f>
        <v/>
      </c>
      <c r="G38" s="1191"/>
      <c r="H38" s="1197"/>
    </row>
    <row r="39" spans="1:8" ht="13.35" customHeight="1" thickBot="1" x14ac:dyDescent="0.35">
      <c r="A39" s="1173"/>
      <c r="B39" s="727">
        <f>입력!C209</f>
        <v>0</v>
      </c>
      <c r="C39" s="727">
        <f>입력!D209</f>
        <v>0</v>
      </c>
      <c r="D39" s="735">
        <f>입력!E209</f>
        <v>0</v>
      </c>
      <c r="E39" s="735">
        <f>입력!H209</f>
        <v>0</v>
      </c>
      <c r="F39" s="735" t="str">
        <f>IF(E39=0,"",입력!I209)</f>
        <v/>
      </c>
      <c r="G39" s="1192"/>
      <c r="H39" s="1197"/>
    </row>
    <row r="40" spans="1:8" ht="13.35" customHeight="1" x14ac:dyDescent="0.3">
      <c r="A40" s="1164" t="s">
        <v>545</v>
      </c>
      <c r="B40" s="730">
        <f>입력!C210</f>
        <v>0</v>
      </c>
      <c r="C40" s="738">
        <f>입력!D210</f>
        <v>0</v>
      </c>
      <c r="D40" s="738">
        <f>입력!E210</f>
        <v>0</v>
      </c>
      <c r="E40" s="730">
        <f>입력!H210</f>
        <v>0</v>
      </c>
      <c r="F40" s="739" t="str">
        <f t="shared" si="0"/>
        <v/>
      </c>
      <c r="G40" s="1190">
        <f>IF(입력!L210&gt;0.2,0.2,입력!L210)</f>
        <v>0</v>
      </c>
      <c r="H40" s="1197"/>
    </row>
    <row r="41" spans="1:8" ht="13.35" customHeight="1" thickBot="1" x14ac:dyDescent="0.35">
      <c r="A41" s="1165"/>
      <c r="B41" s="727">
        <f>입력!C211</f>
        <v>0</v>
      </c>
      <c r="C41" s="735">
        <f>입력!D211</f>
        <v>0</v>
      </c>
      <c r="D41" s="735">
        <f>입력!E211</f>
        <v>0</v>
      </c>
      <c r="E41" s="727">
        <f>입력!H211</f>
        <v>0</v>
      </c>
      <c r="F41" s="736" t="str">
        <f>IF(E41=0,"","0.0084")</f>
        <v/>
      </c>
      <c r="G41" s="1192"/>
      <c r="H41" s="1197"/>
    </row>
    <row r="42" spans="1:8" ht="13.35" customHeight="1" x14ac:dyDescent="0.3">
      <c r="A42" s="1164" t="s">
        <v>546</v>
      </c>
      <c r="B42" s="730">
        <f>입력!C212</f>
        <v>0</v>
      </c>
      <c r="C42" s="738">
        <f>입력!D212</f>
        <v>0</v>
      </c>
      <c r="D42" s="738">
        <f>입력!E212</f>
        <v>0</v>
      </c>
      <c r="E42" s="730">
        <f>입력!H212</f>
        <v>0</v>
      </c>
      <c r="F42" s="739" t="str">
        <f>IF(E42=0,"","0.1000")</f>
        <v/>
      </c>
      <c r="G42" s="1190">
        <f>IF(입력!L212&gt;0.2,0.2,입력!L212)</f>
        <v>0</v>
      </c>
      <c r="H42" s="1197"/>
    </row>
    <row r="43" spans="1:8" ht="13.35" customHeight="1" x14ac:dyDescent="0.3">
      <c r="A43" s="1169"/>
      <c r="B43" s="772">
        <f>입력!C213</f>
        <v>0</v>
      </c>
      <c r="C43" s="773">
        <f>입력!D213</f>
        <v>0</v>
      </c>
      <c r="D43" s="773">
        <f>입력!E213</f>
        <v>0</v>
      </c>
      <c r="E43" s="772">
        <f>입력!H213</f>
        <v>0</v>
      </c>
      <c r="F43" s="774" t="str">
        <f>IF(E43=0,"","0.0500")</f>
        <v/>
      </c>
      <c r="G43" s="1191"/>
      <c r="H43" s="1197"/>
    </row>
    <row r="44" spans="1:8" ht="13.35" customHeight="1" thickBot="1" x14ac:dyDescent="0.35">
      <c r="A44" s="1165"/>
      <c r="B44" s="727">
        <f>입력!C214</f>
        <v>0</v>
      </c>
      <c r="C44" s="735">
        <f>입력!D214</f>
        <v>0</v>
      </c>
      <c r="D44" s="735">
        <f>입력!E214</f>
        <v>0</v>
      </c>
      <c r="E44" s="727">
        <f>입력!H214</f>
        <v>0</v>
      </c>
      <c r="F44" s="736" t="str">
        <f>IF(E44=0,"",입력!I214)</f>
        <v/>
      </c>
      <c r="G44" s="1192"/>
      <c r="H44" s="1197"/>
    </row>
    <row r="45" spans="1:8" ht="13.35" customHeight="1" x14ac:dyDescent="0.3">
      <c r="A45" s="1170" t="s">
        <v>1720</v>
      </c>
      <c r="B45" s="730">
        <f>입력!C215</f>
        <v>0</v>
      </c>
      <c r="C45" s="738">
        <f>입력!D215</f>
        <v>0</v>
      </c>
      <c r="D45" s="738">
        <f>입력!E215</f>
        <v>0</v>
      </c>
      <c r="E45" s="730">
        <f>입력!H215</f>
        <v>0</v>
      </c>
      <c r="F45" s="739" t="str">
        <f>IF(E45=0,"","등급별")</f>
        <v/>
      </c>
      <c r="G45" s="1190">
        <f>IF(입력!L215&gt;0.2,0.2,입력!L215)</f>
        <v>0</v>
      </c>
      <c r="H45" s="1197"/>
    </row>
    <row r="46" spans="1:8" ht="13.35" customHeight="1" x14ac:dyDescent="0.3">
      <c r="A46" s="1168"/>
      <c r="B46" s="89">
        <f>입력!C216</f>
        <v>0</v>
      </c>
      <c r="C46" s="90">
        <f>입력!D216</f>
        <v>0</v>
      </c>
      <c r="D46" s="90">
        <f>입력!E216</f>
        <v>0</v>
      </c>
      <c r="E46" s="89">
        <f>입력!H216</f>
        <v>0</v>
      </c>
      <c r="F46" s="398" t="str">
        <f>IF(E46=0,"","등급별")</f>
        <v/>
      </c>
      <c r="G46" s="1191"/>
      <c r="H46" s="1197"/>
    </row>
    <row r="47" spans="1:8" ht="13.35" customHeight="1" thickBot="1" x14ac:dyDescent="0.35">
      <c r="A47" s="1165"/>
      <c r="B47" s="727">
        <f>입력!C217</f>
        <v>0</v>
      </c>
      <c r="C47" s="735">
        <f>입력!D217</f>
        <v>0</v>
      </c>
      <c r="D47" s="735">
        <f>입력!E217</f>
        <v>0</v>
      </c>
      <c r="E47" s="727">
        <f>입력!H217</f>
        <v>0</v>
      </c>
      <c r="F47" s="736" t="str">
        <f>IF(E47=0,"","등급별")</f>
        <v/>
      </c>
      <c r="G47" s="1192"/>
      <c r="H47" s="1197"/>
    </row>
    <row r="48" spans="1:8" ht="13.35" customHeight="1" x14ac:dyDescent="0.3">
      <c r="A48" s="1164" t="s">
        <v>1007</v>
      </c>
      <c r="B48" s="730">
        <f>입력!C218</f>
        <v>0</v>
      </c>
      <c r="C48" s="738">
        <f>입력!D218</f>
        <v>0</v>
      </c>
      <c r="D48" s="738">
        <f>입력!E218</f>
        <v>0</v>
      </c>
      <c r="E48" s="730">
        <f>입력!H218</f>
        <v>0</v>
      </c>
      <c r="F48" s="739" t="str">
        <f>IF(E48=0,"","0.05")</f>
        <v/>
      </c>
      <c r="G48" s="1190">
        <f>IF(입력!L218&gt;0.25,0.25,입력!L218)</f>
        <v>0</v>
      </c>
      <c r="H48" s="1197"/>
    </row>
    <row r="49" spans="1:8" ht="13.35" customHeight="1" thickBot="1" x14ac:dyDescent="0.35">
      <c r="A49" s="1165"/>
      <c r="B49" s="727">
        <f>입력!C219</f>
        <v>0</v>
      </c>
      <c r="C49" s="735">
        <f>입력!D219</f>
        <v>0</v>
      </c>
      <c r="D49" s="735">
        <f>입력!E219</f>
        <v>0</v>
      </c>
      <c r="E49" s="727">
        <f>입력!H219</f>
        <v>0</v>
      </c>
      <c r="F49" s="736" t="str">
        <f>IF(E49=0,"","0.05")</f>
        <v/>
      </c>
      <c r="G49" s="1192"/>
      <c r="H49" s="1197"/>
    </row>
    <row r="50" spans="1:8" ht="13.35" customHeight="1" thickBot="1" x14ac:dyDescent="0.35">
      <c r="A50" s="740" t="s">
        <v>1008</v>
      </c>
      <c r="B50" s="741">
        <f>입력!C220</f>
        <v>0</v>
      </c>
      <c r="C50" s="742">
        <f>입력!D220</f>
        <v>0</v>
      </c>
      <c r="D50" s="742">
        <f>입력!E220</f>
        <v>0</v>
      </c>
      <c r="E50" s="741">
        <f>입력!H220</f>
        <v>0</v>
      </c>
      <c r="F50" s="743" t="str">
        <f>IF(E50=0,"","0.10")</f>
        <v/>
      </c>
      <c r="G50" s="744">
        <f>IF(입력!L220&gt;0.1,0.1,입력!L220)</f>
        <v>0</v>
      </c>
      <c r="H50" s="1197"/>
    </row>
    <row r="51" spans="1:8" ht="13.35" customHeight="1" x14ac:dyDescent="0.3">
      <c r="A51" s="1164" t="s">
        <v>1006</v>
      </c>
      <c r="B51" s="730">
        <f>입력!C221</f>
        <v>0</v>
      </c>
      <c r="C51" s="738">
        <f>입력!D221</f>
        <v>0</v>
      </c>
      <c r="D51" s="738">
        <f>입력!E221</f>
        <v>0</v>
      </c>
      <c r="E51" s="730">
        <f>입력!H221</f>
        <v>0</v>
      </c>
      <c r="F51" s="739" t="str">
        <f>IF(E51=0,"","0.04")</f>
        <v/>
      </c>
      <c r="G51" s="1195">
        <f>IF(입력!L221&gt;0.074,0.074,입력!L221)</f>
        <v>0</v>
      </c>
      <c r="H51" s="1197"/>
    </row>
    <row r="52" spans="1:8" ht="13.35" customHeight="1" thickBot="1" x14ac:dyDescent="0.35">
      <c r="A52" s="1165"/>
      <c r="B52" s="727">
        <f>입력!C222</f>
        <v>0</v>
      </c>
      <c r="C52" s="735">
        <f>입력!D222</f>
        <v>0</v>
      </c>
      <c r="D52" s="735">
        <f>입력!E222</f>
        <v>0</v>
      </c>
      <c r="E52" s="727">
        <f>입력!H222</f>
        <v>0</v>
      </c>
      <c r="F52" s="736" t="str">
        <f>IF(E52=0,"","0.034")</f>
        <v/>
      </c>
      <c r="G52" s="1196"/>
      <c r="H52" s="1197"/>
    </row>
    <row r="53" spans="1:8" ht="13.35" customHeight="1" x14ac:dyDescent="0.3">
      <c r="A53" s="745" t="s">
        <v>547</v>
      </c>
      <c r="B53" s="746">
        <f>입력!C223</f>
        <v>0</v>
      </c>
      <c r="C53" s="747">
        <f>입력!D223</f>
        <v>0</v>
      </c>
      <c r="D53" s="747">
        <f>입력!E223</f>
        <v>0</v>
      </c>
      <c r="E53" s="746">
        <f>입력!H223</f>
        <v>0</v>
      </c>
      <c r="F53" s="737" t="str">
        <f>IF(E53=0,"","종별/급별")</f>
        <v/>
      </c>
      <c r="G53" s="748">
        <f>IF(입력!L223&gt;0.3,0.3,입력!L223)</f>
        <v>0</v>
      </c>
      <c r="H53" s="1198"/>
    </row>
    <row r="54" spans="1:8" ht="13.35" customHeight="1" x14ac:dyDescent="0.3">
      <c r="A54" s="1174" t="s">
        <v>542</v>
      </c>
      <c r="B54" s="1175"/>
      <c r="C54" s="1175"/>
      <c r="D54" s="1175"/>
      <c r="E54" s="1175"/>
      <c r="F54" s="1175"/>
      <c r="G54" s="1179">
        <f>G7+G29</f>
        <v>0</v>
      </c>
      <c r="H54" s="1180"/>
    </row>
    <row r="55" spans="1:8" ht="13.35" customHeight="1" x14ac:dyDescent="0.3">
      <c r="A55" s="1176" t="s">
        <v>539</v>
      </c>
      <c r="B55" s="1177"/>
      <c r="C55" s="1177"/>
      <c r="D55" s="1177"/>
      <c r="E55" s="1177"/>
      <c r="F55" s="1177"/>
      <c r="G55" s="1178"/>
      <c r="H55" s="620"/>
    </row>
    <row r="56" spans="1:8" ht="13.35" customHeight="1" x14ac:dyDescent="0.3">
      <c r="A56" s="615" t="s">
        <v>19</v>
      </c>
      <c r="B56" s="1097" t="s">
        <v>24</v>
      </c>
      <c r="C56" s="1097"/>
      <c r="D56" s="1097" t="s">
        <v>2</v>
      </c>
      <c r="E56" s="1097"/>
      <c r="F56" s="616" t="s">
        <v>22</v>
      </c>
      <c r="G56" s="1101" t="s">
        <v>23</v>
      </c>
      <c r="H56" s="1102"/>
    </row>
    <row r="57" spans="1:8" ht="13.35" customHeight="1" x14ac:dyDescent="0.3">
      <c r="A57" s="91" t="s">
        <v>20</v>
      </c>
      <c r="B57" s="1112" t="str">
        <f>입력!$D$35</f>
        <v>경원중학교</v>
      </c>
      <c r="C57" s="1112"/>
      <c r="D57" s="1112" t="str">
        <f>입력!$D$36</f>
        <v>교감</v>
      </c>
      <c r="E57" s="1112"/>
      <c r="F57" s="619" t="str">
        <f>입력!$D$37</f>
        <v>김교감</v>
      </c>
      <c r="G57" s="1110" t="s">
        <v>396</v>
      </c>
      <c r="H57" s="1111"/>
    </row>
    <row r="58" spans="1:8" ht="13.35" customHeight="1" x14ac:dyDescent="0.3">
      <c r="A58" s="617" t="s">
        <v>21</v>
      </c>
      <c r="B58" s="1105" t="str">
        <f>입력!$D$38</f>
        <v>경원중학교</v>
      </c>
      <c r="C58" s="1105"/>
      <c r="D58" s="1105" t="str">
        <f>입력!$D$39</f>
        <v>교장</v>
      </c>
      <c r="E58" s="1105"/>
      <c r="F58" s="618" t="str">
        <f>입력!$D$40</f>
        <v>이교장</v>
      </c>
      <c r="G58" s="1181" t="s">
        <v>397</v>
      </c>
      <c r="H58" s="1182"/>
    </row>
    <row r="59" spans="1:8" ht="13.35" customHeight="1" x14ac:dyDescent="0.3">
      <c r="A59" s="81"/>
    </row>
  </sheetData>
  <sheetProtection algorithmName="SHA-512" hashValue="GUtLI8hsQDmOcGDvfdU8xiyY4fTjnY0FlTHyKZsu7j5n5hWIFBQlSlHVxuc3ZBiWGECsdFmfV7Bnpnk5C95n0g==" saltValue="WLR5FvtqrN6it581jCeRYw==" spinCount="100000" sheet="1" objects="1" scenarios="1" selectLockedCells="1"/>
  <mergeCells count="46">
    <mergeCell ref="G48:G49"/>
    <mergeCell ref="G51:G52"/>
    <mergeCell ref="H36:H53"/>
    <mergeCell ref="H31:H35"/>
    <mergeCell ref="G31:G35"/>
    <mergeCell ref="G36:G39"/>
    <mergeCell ref="G40:G41"/>
    <mergeCell ref="H11:H28"/>
    <mergeCell ref="G9:G10"/>
    <mergeCell ref="G42:G44"/>
    <mergeCell ref="G45:G47"/>
    <mergeCell ref="G29:H29"/>
    <mergeCell ref="A2:H2"/>
    <mergeCell ref="A3:H3"/>
    <mergeCell ref="D8:E8"/>
    <mergeCell ref="A7:F7"/>
    <mergeCell ref="G5:H5"/>
    <mergeCell ref="G6:H6"/>
    <mergeCell ref="A4:H4"/>
    <mergeCell ref="G7:H7"/>
    <mergeCell ref="A5:B5"/>
    <mergeCell ref="C5:D5"/>
    <mergeCell ref="E5:F5"/>
    <mergeCell ref="A6:B6"/>
    <mergeCell ref="C6:D6"/>
    <mergeCell ref="E6:F6"/>
    <mergeCell ref="B58:C58"/>
    <mergeCell ref="D58:E58"/>
    <mergeCell ref="A54:F54"/>
    <mergeCell ref="A55:G55"/>
    <mergeCell ref="B56:C56"/>
    <mergeCell ref="D56:E56"/>
    <mergeCell ref="B57:C57"/>
    <mergeCell ref="D57:E57"/>
    <mergeCell ref="G54:H54"/>
    <mergeCell ref="G56:H56"/>
    <mergeCell ref="G57:H57"/>
    <mergeCell ref="G58:H58"/>
    <mergeCell ref="A51:A52"/>
    <mergeCell ref="A29:F29"/>
    <mergeCell ref="A31:A35"/>
    <mergeCell ref="A40:A41"/>
    <mergeCell ref="A42:A44"/>
    <mergeCell ref="A45:A47"/>
    <mergeCell ref="A48:A49"/>
    <mergeCell ref="A36:A39"/>
  </mergeCells>
  <phoneticPr fontId="3" type="noConversion"/>
  <printOptions horizontalCentered="1"/>
  <pageMargins left="0.39370078740157483" right="0.39370078740157483" top="0.7" bottom="0.39370078740157483" header="0" footer="0"/>
  <pageSetup paperSize="9" scale="89" orientation="portrait" r:id="rId1"/>
  <ignoredErrors>
    <ignoredError sqref="B31:E35 B44:E53 B40:E42" unlockedFormula="1"/>
    <ignoredError sqref="F41:F42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rgb="FF0000FF"/>
  </sheetPr>
  <dimension ref="A1:CA54"/>
  <sheetViews>
    <sheetView showGridLines="0" showZeros="0" view="pageBreakPreview" topLeftCell="A35" zoomScaleNormal="100" zoomScaleSheetLayoutView="100" workbookViewId="0">
      <selection activeCell="O11" sqref="O11"/>
    </sheetView>
  </sheetViews>
  <sheetFormatPr defaultColWidth="11.625" defaultRowHeight="14.1" customHeight="1" x14ac:dyDescent="0.3"/>
  <cols>
    <col min="1" max="1" width="10.625" style="82" customWidth="1"/>
    <col min="2" max="2" width="1.25" style="82" customWidth="1"/>
    <col min="3" max="3" width="19.75" style="82" bestFit="1" customWidth="1"/>
    <col min="4" max="4" width="5.625" style="82" customWidth="1"/>
    <col min="5" max="5" width="15.5" style="82" customWidth="1"/>
    <col min="6" max="6" width="14" style="82" customWidth="1"/>
    <col min="7" max="7" width="12.5" style="82" customWidth="1"/>
    <col min="8" max="8" width="12.25" style="82" customWidth="1"/>
    <col min="9" max="9" width="8.5" style="82" customWidth="1"/>
    <col min="10" max="10" width="6.25" style="82" customWidth="1"/>
    <col min="11" max="11" width="6.5" style="82" customWidth="1"/>
    <col min="12" max="12" width="11.625" style="82" bestFit="1" customWidth="1"/>
    <col min="13" max="16384" width="11.625" style="82"/>
  </cols>
  <sheetData>
    <row r="1" spans="1:79" ht="12.75" customHeight="1" x14ac:dyDescent="0.3">
      <c r="A1" s="81" t="s">
        <v>1677</v>
      </c>
      <c r="B1" s="81"/>
      <c r="C1" s="81"/>
      <c r="D1" s="81"/>
      <c r="AC1" s="82" t="s">
        <v>993</v>
      </c>
    </row>
    <row r="2" spans="1:79" ht="26.25" customHeight="1" x14ac:dyDescent="0.3">
      <c r="A2" s="1237" t="s">
        <v>1787</v>
      </c>
      <c r="B2" s="1237"/>
      <c r="C2" s="1237"/>
      <c r="D2" s="1237"/>
      <c r="E2" s="1237"/>
      <c r="F2" s="1237"/>
      <c r="G2" s="1237"/>
      <c r="H2" s="1237"/>
      <c r="I2" s="1237"/>
      <c r="J2" s="1237"/>
      <c r="K2" s="1237"/>
      <c r="AC2" s="82" t="s">
        <v>994</v>
      </c>
    </row>
    <row r="3" spans="1:79" ht="20.25" customHeight="1" x14ac:dyDescent="0.3">
      <c r="A3" s="1238" t="str">
        <f>종합!A3</f>
        <v>(2024.3.31.자 명부작성용)</v>
      </c>
      <c r="B3" s="1238"/>
      <c r="C3" s="1238"/>
      <c r="D3" s="1238"/>
      <c r="E3" s="1238"/>
      <c r="F3" s="1238"/>
      <c r="G3" s="1238"/>
      <c r="H3" s="1238"/>
      <c r="I3" s="1238"/>
      <c r="J3" s="1238"/>
      <c r="K3" s="1238"/>
    </row>
    <row r="4" spans="1:79" ht="16.899999999999999" customHeight="1" x14ac:dyDescent="0.3">
      <c r="A4" s="1098" t="s">
        <v>1689</v>
      </c>
      <c r="B4" s="1099"/>
      <c r="C4" s="1099"/>
      <c r="D4" s="1099"/>
      <c r="E4" s="1099"/>
      <c r="F4" s="1099"/>
      <c r="G4" s="1099"/>
      <c r="H4" s="1099"/>
      <c r="I4" s="1099"/>
      <c r="J4" s="1099"/>
      <c r="K4" s="1100"/>
    </row>
    <row r="5" spans="1:79" ht="16.899999999999999" customHeight="1" x14ac:dyDescent="0.3">
      <c r="A5" s="1095" t="s">
        <v>24</v>
      </c>
      <c r="B5" s="1096"/>
      <c r="C5" s="1096"/>
      <c r="D5" s="1096"/>
      <c r="E5" s="1097"/>
      <c r="F5" s="1097" t="s">
        <v>2</v>
      </c>
      <c r="G5" s="1097"/>
      <c r="H5" s="1097" t="s">
        <v>22</v>
      </c>
      <c r="I5" s="1097"/>
      <c r="J5" s="648"/>
      <c r="K5" s="650" t="s">
        <v>23</v>
      </c>
    </row>
    <row r="6" spans="1:79" ht="16.899999999999999" customHeight="1" x14ac:dyDescent="0.3">
      <c r="A6" s="1103" t="str">
        <f>입력!$D$20</f>
        <v>경원중</v>
      </c>
      <c r="B6" s="1104"/>
      <c r="C6" s="1104"/>
      <c r="D6" s="1104"/>
      <c r="E6" s="1105"/>
      <c r="F6" s="1105" t="str">
        <f>입력!$D$21</f>
        <v>교사</v>
      </c>
      <c r="G6" s="1105"/>
      <c r="H6" s="1105" t="str">
        <f>입력!$D$22</f>
        <v>홍길동</v>
      </c>
      <c r="I6" s="1105"/>
      <c r="J6" s="649"/>
      <c r="K6" s="651" t="s">
        <v>391</v>
      </c>
    </row>
    <row r="7" spans="1:79" ht="12.75" customHeight="1" x14ac:dyDescent="0.3">
      <c r="A7" s="1087" t="s">
        <v>548</v>
      </c>
      <c r="B7" s="1088"/>
      <c r="C7" s="1088"/>
      <c r="D7" s="1088"/>
      <c r="E7" s="1088"/>
      <c r="F7" s="1088"/>
      <c r="G7" s="1088"/>
      <c r="H7" s="1088"/>
      <c r="I7" s="1088"/>
      <c r="J7" s="1088"/>
      <c r="K7" s="1089"/>
    </row>
    <row r="8" spans="1:79" ht="12.75" customHeight="1" x14ac:dyDescent="0.3">
      <c r="A8" s="1129" t="s">
        <v>44</v>
      </c>
      <c r="B8" s="1130"/>
      <c r="C8" s="1230" t="s">
        <v>1711</v>
      </c>
      <c r="D8" s="1230" t="s">
        <v>1715</v>
      </c>
      <c r="E8" s="1229" t="s">
        <v>45</v>
      </c>
      <c r="F8" s="1229" t="s">
        <v>46</v>
      </c>
      <c r="G8" s="1229" t="s">
        <v>506</v>
      </c>
      <c r="H8" s="1229"/>
      <c r="I8" s="1229" t="s">
        <v>974</v>
      </c>
      <c r="J8" s="1230" t="s">
        <v>1682</v>
      </c>
      <c r="K8" s="1221" t="s">
        <v>1683</v>
      </c>
      <c r="L8" s="96"/>
      <c r="N8" s="88"/>
    </row>
    <row r="9" spans="1:79" s="97" customFormat="1" ht="15.75" customHeight="1" x14ac:dyDescent="0.3">
      <c r="A9" s="1227"/>
      <c r="B9" s="1228"/>
      <c r="C9" s="1229"/>
      <c r="D9" s="1229"/>
      <c r="E9" s="1108"/>
      <c r="F9" s="1108"/>
      <c r="G9" s="647" t="s">
        <v>434</v>
      </c>
      <c r="H9" s="647" t="s">
        <v>556</v>
      </c>
      <c r="I9" s="1108"/>
      <c r="J9" s="1229"/>
      <c r="K9" s="1222"/>
      <c r="L9" s="96"/>
      <c r="M9" s="82"/>
      <c r="N9" s="88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  <c r="BW9" s="82"/>
      <c r="BX9" s="82"/>
      <c r="BY9" s="82"/>
      <c r="BZ9" s="82"/>
      <c r="CA9" s="82"/>
    </row>
    <row r="10" spans="1:79" s="97" customFormat="1" ht="21" customHeight="1" thickBot="1" x14ac:dyDescent="0.35">
      <c r="A10" s="1223" t="s">
        <v>1634</v>
      </c>
      <c r="B10" s="1224"/>
      <c r="C10" s="749" t="str">
        <f>'농어촌학교 근무경력 '!C6</f>
        <v>1995.3.1. ~ 1998.2.28.</v>
      </c>
      <c r="D10" s="749"/>
      <c r="E10" s="750">
        <f>'농어촌학교 근무경력 '!D6</f>
        <v>0</v>
      </c>
      <c r="F10" s="751">
        <f>'농어촌학교 근무경력 '!E6</f>
        <v>0</v>
      </c>
      <c r="G10" s="751">
        <f>'농어촌학교 근무경력 '!F6</f>
        <v>0</v>
      </c>
      <c r="H10" s="751">
        <f>'농어촌학교 근무경력 '!G6</f>
        <v>0</v>
      </c>
      <c r="I10" s="750" t="str">
        <f>IF(H10=0,"",'농어촌학교 근무경력 '!H6&amp;"."&amp;RIGHT("0"&amp;'농어촌학교 근무경력 '!I6,2))</f>
        <v/>
      </c>
      <c r="J10" s="750">
        <f>'농어촌학교 근무경력 '!L6</f>
        <v>0</v>
      </c>
      <c r="K10" s="1231">
        <f>IF('농어촌학교 근무경력 '!M6&gt;1.25,1.25,'농어촌학교 근무경력 '!M6)</f>
        <v>0</v>
      </c>
      <c r="L10" s="96"/>
      <c r="M10" s="82"/>
      <c r="N10" s="88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  <c r="BZ10" s="82"/>
      <c r="CA10" s="82"/>
    </row>
    <row r="11" spans="1:79" ht="21" customHeight="1" x14ac:dyDescent="0.3">
      <c r="A11" s="1225"/>
      <c r="B11" s="1226"/>
      <c r="C11" s="681" t="s">
        <v>1710</v>
      </c>
      <c r="D11" s="682" t="s">
        <v>1716</v>
      </c>
      <c r="E11" s="689">
        <f>'농어촌학교 근무경력 '!D7</f>
        <v>0</v>
      </c>
      <c r="F11" s="690">
        <f>'농어촌학교 근무경력 '!E7</f>
        <v>0</v>
      </c>
      <c r="G11" s="690">
        <f>'농어촌학교 근무경력 '!F7</f>
        <v>0</v>
      </c>
      <c r="H11" s="690">
        <f>'농어촌학교 근무경력 '!G7</f>
        <v>0</v>
      </c>
      <c r="I11" s="689" t="str">
        <f>IF(H11=0,"",'농어촌학교 근무경력 '!H7&amp;"."&amp;RIGHT("0"&amp;'농어촌학교 근무경력 '!I7,2))</f>
        <v/>
      </c>
      <c r="J11" s="689">
        <f>'농어촌학교 근무경력 '!L7</f>
        <v>0</v>
      </c>
      <c r="K11" s="1232"/>
      <c r="L11" s="98"/>
      <c r="N11" s="88"/>
    </row>
    <row r="12" spans="1:79" ht="21" customHeight="1" x14ac:dyDescent="0.3">
      <c r="A12" s="1225"/>
      <c r="B12" s="1226"/>
      <c r="C12" s="683" t="s">
        <v>1710</v>
      </c>
      <c r="D12" s="684" t="s">
        <v>1716</v>
      </c>
      <c r="E12" s="691">
        <f>'농어촌학교 근무경력 '!D8</f>
        <v>0</v>
      </c>
      <c r="F12" s="692">
        <f>'농어촌학교 근무경력 '!E8</f>
        <v>0</v>
      </c>
      <c r="G12" s="692">
        <f>'농어촌학교 근무경력 '!F8</f>
        <v>0</v>
      </c>
      <c r="H12" s="692">
        <f>'농어촌학교 근무경력 '!G8</f>
        <v>0</v>
      </c>
      <c r="I12" s="691" t="str">
        <f>IF(H12=0,"",'농어촌학교 근무경력 '!H8&amp;"."&amp;RIGHT("0"&amp;'농어촌학교 근무경력 '!I8,2))</f>
        <v/>
      </c>
      <c r="J12" s="691">
        <f>'농어촌학교 근무경력 '!L8</f>
        <v>0</v>
      </c>
      <c r="K12" s="1232"/>
      <c r="L12" s="98"/>
      <c r="N12" s="88"/>
    </row>
    <row r="13" spans="1:79" ht="21" customHeight="1" thickBot="1" x14ac:dyDescent="0.35">
      <c r="A13" s="1225"/>
      <c r="B13" s="1226"/>
      <c r="C13" s="749" t="s">
        <v>1710</v>
      </c>
      <c r="D13" s="752" t="s">
        <v>1716</v>
      </c>
      <c r="E13" s="750">
        <f>'농어촌학교 근무경력 '!D9</f>
        <v>0</v>
      </c>
      <c r="F13" s="751">
        <f>'농어촌학교 근무경력 '!E9</f>
        <v>0</v>
      </c>
      <c r="G13" s="751">
        <f>'농어촌학교 근무경력 '!F9</f>
        <v>0</v>
      </c>
      <c r="H13" s="751">
        <f>'농어촌학교 근무경력 '!G9</f>
        <v>0</v>
      </c>
      <c r="I13" s="750" t="str">
        <f>IF(H13=0,"",'농어촌학교 근무경력 '!H9&amp;"."&amp;RIGHT("0"&amp;'농어촌학교 근무경력 '!I9,2))</f>
        <v/>
      </c>
      <c r="J13" s="750">
        <f>'농어촌학교 근무경력 '!L9</f>
        <v>0</v>
      </c>
      <c r="K13" s="1232"/>
      <c r="L13" s="98"/>
      <c r="N13" s="88"/>
    </row>
    <row r="14" spans="1:79" ht="21" customHeight="1" x14ac:dyDescent="0.3">
      <c r="A14" s="1225"/>
      <c r="B14" s="1226"/>
      <c r="C14" s="681" t="s">
        <v>1712</v>
      </c>
      <c r="D14" s="682" t="s">
        <v>1716</v>
      </c>
      <c r="E14" s="689">
        <f>'농어촌학교 근무경력 '!D10</f>
        <v>0</v>
      </c>
      <c r="F14" s="690">
        <f>'농어촌학교 근무경력 '!E10</f>
        <v>0</v>
      </c>
      <c r="G14" s="690">
        <f>'농어촌학교 근무경력 '!F10</f>
        <v>0</v>
      </c>
      <c r="H14" s="690">
        <f>'농어촌학교 근무경력 '!G10</f>
        <v>0</v>
      </c>
      <c r="I14" s="689" t="str">
        <f>IF(H14=0,"",'농어촌학교 근무경력 '!H10&amp;"."&amp;RIGHT("0"&amp;'농어촌학교 근무경력 '!I10,2))</f>
        <v/>
      </c>
      <c r="J14" s="689">
        <f>'농어촌학교 근무경력 '!L10</f>
        <v>0</v>
      </c>
      <c r="K14" s="1232"/>
      <c r="L14" s="98"/>
      <c r="N14" s="88"/>
    </row>
    <row r="15" spans="1:79" ht="21" customHeight="1" x14ac:dyDescent="0.3">
      <c r="A15" s="1225"/>
      <c r="B15" s="1226"/>
      <c r="C15" s="683" t="s">
        <v>1712</v>
      </c>
      <c r="D15" s="684" t="s">
        <v>1716</v>
      </c>
      <c r="E15" s="691">
        <f>'농어촌학교 근무경력 '!D11</f>
        <v>0</v>
      </c>
      <c r="F15" s="692">
        <f>'농어촌학교 근무경력 '!E11</f>
        <v>0</v>
      </c>
      <c r="G15" s="692">
        <f>'농어촌학교 근무경력 '!F11</f>
        <v>0</v>
      </c>
      <c r="H15" s="692">
        <f>'농어촌학교 근무경력 '!G11</f>
        <v>0</v>
      </c>
      <c r="I15" s="691" t="str">
        <f>IF(H15=0,"",'농어촌학교 근무경력 '!H11&amp;"."&amp;RIGHT("0"&amp;'농어촌학교 근무경력 '!I11,2))</f>
        <v/>
      </c>
      <c r="J15" s="691">
        <f>'농어촌학교 근무경력 '!L11</f>
        <v>0</v>
      </c>
      <c r="K15" s="1232"/>
      <c r="L15" s="98"/>
      <c r="N15" s="88"/>
    </row>
    <row r="16" spans="1:79" ht="21" customHeight="1" thickBot="1" x14ac:dyDescent="0.35">
      <c r="A16" s="1225"/>
      <c r="B16" s="1226"/>
      <c r="C16" s="685" t="s">
        <v>1712</v>
      </c>
      <c r="D16" s="686" t="s">
        <v>1716</v>
      </c>
      <c r="E16" s="693">
        <f>'농어촌학교 근무경력 '!D12</f>
        <v>0</v>
      </c>
      <c r="F16" s="694">
        <f>'농어촌학교 근무경력 '!E12</f>
        <v>0</v>
      </c>
      <c r="G16" s="694">
        <f>'농어촌학교 근무경력 '!F12</f>
        <v>0</v>
      </c>
      <c r="H16" s="694">
        <f>'농어촌학교 근무경력 '!G12</f>
        <v>0</v>
      </c>
      <c r="I16" s="693" t="str">
        <f>IF(H16=0,"",'농어촌학교 근무경력 '!H12&amp;"."&amp;RIGHT("0"&amp;'농어촌학교 근무경력 '!I12,2))</f>
        <v/>
      </c>
      <c r="J16" s="693">
        <f>'농어촌학교 근무경력 '!L12</f>
        <v>0</v>
      </c>
      <c r="K16" s="1232"/>
      <c r="L16" s="99"/>
      <c r="N16" s="88"/>
    </row>
    <row r="17" spans="1:14" ht="21" customHeight="1" thickTop="1" x14ac:dyDescent="0.3">
      <c r="A17" s="1225"/>
      <c r="B17" s="1226"/>
      <c r="C17" s="681" t="s">
        <v>1712</v>
      </c>
      <c r="D17" s="687" t="s">
        <v>1717</v>
      </c>
      <c r="E17" s="689">
        <f>'농어촌학교 근무경력 '!D13</f>
        <v>0</v>
      </c>
      <c r="F17" s="690">
        <f>'농어촌학교 근무경력 '!E13</f>
        <v>0</v>
      </c>
      <c r="G17" s="690">
        <f>'농어촌학교 근무경력 '!F13</f>
        <v>0</v>
      </c>
      <c r="H17" s="690">
        <f>'농어촌학교 근무경력 '!G13</f>
        <v>0</v>
      </c>
      <c r="I17" s="689" t="str">
        <f>IF(H17=0,"",'농어촌학교 근무경력 '!H13&amp;"."&amp;RIGHT("0"&amp;'농어촌학교 근무경력 '!I13,2))</f>
        <v/>
      </c>
      <c r="J17" s="689">
        <f>'농어촌학교 근무경력 '!L13</f>
        <v>0</v>
      </c>
      <c r="K17" s="1232"/>
      <c r="L17" s="99"/>
      <c r="N17" s="88"/>
    </row>
    <row r="18" spans="1:14" ht="21" customHeight="1" x14ac:dyDescent="0.3">
      <c r="A18" s="1225"/>
      <c r="B18" s="1226"/>
      <c r="C18" s="683" t="s">
        <v>1712</v>
      </c>
      <c r="D18" s="688" t="s">
        <v>1717</v>
      </c>
      <c r="E18" s="691">
        <f>'농어촌학교 근무경력 '!D14</f>
        <v>0</v>
      </c>
      <c r="F18" s="692">
        <f>'농어촌학교 근무경력 '!E14</f>
        <v>0</v>
      </c>
      <c r="G18" s="692">
        <f>'농어촌학교 근무경력 '!F14</f>
        <v>0</v>
      </c>
      <c r="H18" s="692">
        <f>'농어촌학교 근무경력 '!G14</f>
        <v>0</v>
      </c>
      <c r="I18" s="691" t="str">
        <f>IF(H18=0,"",'농어촌학교 근무경력 '!H14&amp;"."&amp;RIGHT("0"&amp;'농어촌학교 근무경력 '!I14,2))</f>
        <v/>
      </c>
      <c r="J18" s="691">
        <f>'농어촌학교 근무경력 '!L14</f>
        <v>0</v>
      </c>
      <c r="K18" s="1232"/>
      <c r="L18" s="99"/>
      <c r="N18" s="88"/>
    </row>
    <row r="19" spans="1:14" ht="21" customHeight="1" thickBot="1" x14ac:dyDescent="0.35">
      <c r="A19" s="1225"/>
      <c r="B19" s="1226"/>
      <c r="C19" s="749" t="s">
        <v>1712</v>
      </c>
      <c r="D19" s="753" t="s">
        <v>1717</v>
      </c>
      <c r="E19" s="750">
        <f>'농어촌학교 근무경력 '!D15</f>
        <v>0</v>
      </c>
      <c r="F19" s="751">
        <f>'농어촌학교 근무경력 '!E15</f>
        <v>0</v>
      </c>
      <c r="G19" s="751">
        <f>'농어촌학교 근무경력 '!F15</f>
        <v>0</v>
      </c>
      <c r="H19" s="751">
        <f>'농어촌학교 근무경력 '!G15</f>
        <v>0</v>
      </c>
      <c r="I19" s="750" t="str">
        <f>IF(H19=0,"",'농어촌학교 근무경력 '!H15&amp;"."&amp;RIGHT("0"&amp;'농어촌학교 근무경력 '!I15,2))</f>
        <v/>
      </c>
      <c r="J19" s="750">
        <f>'농어촌학교 근무경력 '!L15</f>
        <v>0</v>
      </c>
      <c r="K19" s="1232"/>
      <c r="L19" s="98"/>
      <c r="N19" s="88"/>
    </row>
    <row r="20" spans="1:14" ht="21" customHeight="1" x14ac:dyDescent="0.3">
      <c r="A20" s="1225"/>
      <c r="B20" s="1226"/>
      <c r="C20" s="681" t="s">
        <v>1713</v>
      </c>
      <c r="D20" s="682" t="s">
        <v>1716</v>
      </c>
      <c r="E20" s="689">
        <f>'농어촌학교 근무경력 '!D16</f>
        <v>0</v>
      </c>
      <c r="F20" s="690">
        <f>'농어촌학교 근무경력 '!E16</f>
        <v>0</v>
      </c>
      <c r="G20" s="690">
        <f>'농어촌학교 근무경력 '!F16</f>
        <v>0</v>
      </c>
      <c r="H20" s="690">
        <f>'농어촌학교 근무경력 '!G16</f>
        <v>0</v>
      </c>
      <c r="I20" s="689" t="str">
        <f>IF(H20=0,"",'농어촌학교 근무경력 '!H16&amp;"."&amp;RIGHT("0"&amp;'농어촌학교 근무경력 '!I16,2))</f>
        <v/>
      </c>
      <c r="J20" s="689">
        <f>'농어촌학교 근무경력 '!L16</f>
        <v>0</v>
      </c>
      <c r="K20" s="1232"/>
      <c r="L20" s="98"/>
      <c r="N20" s="88"/>
    </row>
    <row r="21" spans="1:14" ht="21" customHeight="1" thickBot="1" x14ac:dyDescent="0.35">
      <c r="A21" s="1225"/>
      <c r="B21" s="1226"/>
      <c r="C21" s="685" t="s">
        <v>1713</v>
      </c>
      <c r="D21" s="686" t="s">
        <v>1716</v>
      </c>
      <c r="E21" s="693">
        <f>'농어촌학교 근무경력 '!D17</f>
        <v>0</v>
      </c>
      <c r="F21" s="694">
        <f>'농어촌학교 근무경력 '!E17</f>
        <v>0</v>
      </c>
      <c r="G21" s="694">
        <f>'농어촌학교 근무경력 '!F17</f>
        <v>0</v>
      </c>
      <c r="H21" s="694">
        <f>'농어촌학교 근무경력 '!G17</f>
        <v>0</v>
      </c>
      <c r="I21" s="693" t="str">
        <f>IF(H21=0,"",'농어촌학교 근무경력 '!H17&amp;"."&amp;RIGHT("0"&amp;'농어촌학교 근무경력 '!I17,2))</f>
        <v/>
      </c>
      <c r="J21" s="693">
        <f>'농어촌학교 근무경력 '!L17</f>
        <v>0</v>
      </c>
      <c r="K21" s="1232"/>
      <c r="L21" s="98"/>
      <c r="N21" s="88"/>
    </row>
    <row r="22" spans="1:14" ht="21" customHeight="1" thickTop="1" x14ac:dyDescent="0.3">
      <c r="A22" s="1225"/>
      <c r="B22" s="1226"/>
      <c r="C22" s="681" t="s">
        <v>1713</v>
      </c>
      <c r="D22" s="687" t="s">
        <v>1717</v>
      </c>
      <c r="E22" s="689">
        <f>'농어촌학교 근무경력 '!D18</f>
        <v>0</v>
      </c>
      <c r="F22" s="690">
        <f>'농어촌학교 근무경력 '!E18</f>
        <v>0</v>
      </c>
      <c r="G22" s="690">
        <f>'농어촌학교 근무경력 '!F18</f>
        <v>0</v>
      </c>
      <c r="H22" s="690">
        <f>'농어촌학교 근무경력 '!G18</f>
        <v>0</v>
      </c>
      <c r="I22" s="689" t="str">
        <f>IF(H22=0,"",'농어촌학교 근무경력 '!H18&amp;"."&amp;RIGHT("0"&amp;'농어촌학교 근무경력 '!I18,2))</f>
        <v/>
      </c>
      <c r="J22" s="689">
        <f>'농어촌학교 근무경력 '!L18</f>
        <v>0</v>
      </c>
      <c r="K22" s="1232"/>
      <c r="L22" s="98"/>
      <c r="N22" s="88"/>
    </row>
    <row r="23" spans="1:14" ht="21" customHeight="1" thickBot="1" x14ac:dyDescent="0.35">
      <c r="A23" s="1225"/>
      <c r="B23" s="1226"/>
      <c r="C23" s="685" t="s">
        <v>1713</v>
      </c>
      <c r="D23" s="695" t="s">
        <v>1717</v>
      </c>
      <c r="E23" s="693">
        <f>'농어촌학교 근무경력 '!D19</f>
        <v>0</v>
      </c>
      <c r="F23" s="694">
        <f>'농어촌학교 근무경력 '!E19</f>
        <v>0</v>
      </c>
      <c r="G23" s="694">
        <f>'농어촌학교 근무경력 '!F19</f>
        <v>0</v>
      </c>
      <c r="H23" s="694">
        <f>'농어촌학교 근무경력 '!G19</f>
        <v>0</v>
      </c>
      <c r="I23" s="693" t="str">
        <f>IF(H23=0,"",'농어촌학교 근무경력 '!H19&amp;"."&amp;RIGHT("0"&amp;'농어촌학교 근무경력 '!I19,2))</f>
        <v/>
      </c>
      <c r="J23" s="693">
        <f>'농어촌학교 근무경력 '!L19</f>
        <v>0</v>
      </c>
      <c r="K23" s="1232"/>
      <c r="L23" s="98"/>
      <c r="N23" s="88"/>
    </row>
    <row r="24" spans="1:14" ht="21" customHeight="1" thickTop="1" x14ac:dyDescent="0.3">
      <c r="A24" s="1225"/>
      <c r="B24" s="1226"/>
      <c r="C24" s="681" t="s">
        <v>1713</v>
      </c>
      <c r="D24" s="696" t="s">
        <v>1718</v>
      </c>
      <c r="E24" s="689">
        <f>'농어촌학교 근무경력 '!D20</f>
        <v>0</v>
      </c>
      <c r="F24" s="690">
        <f>'농어촌학교 근무경력 '!E20</f>
        <v>0</v>
      </c>
      <c r="G24" s="690">
        <f>'농어촌학교 근무경력 '!F20</f>
        <v>0</v>
      </c>
      <c r="H24" s="690">
        <f>'농어촌학교 근무경력 '!G20</f>
        <v>0</v>
      </c>
      <c r="I24" s="689" t="str">
        <f>IF(H24=0,"",'농어촌학교 근무경력 '!H20&amp;"."&amp;RIGHT("0"&amp;'농어촌학교 근무경력 '!I20,2))</f>
        <v/>
      </c>
      <c r="J24" s="689">
        <f>'농어촌학교 근무경력 '!L20</f>
        <v>0</v>
      </c>
      <c r="K24" s="1232"/>
      <c r="L24" s="442">
        <f>IF(SUM(K24:K48)&gt;1.9,1.9,SUM(K24:K48))</f>
        <v>0</v>
      </c>
      <c r="N24" s="88"/>
    </row>
    <row r="25" spans="1:14" ht="21" customHeight="1" thickBot="1" x14ac:dyDescent="0.35">
      <c r="A25" s="1225"/>
      <c r="B25" s="1226"/>
      <c r="C25" s="749" t="s">
        <v>1713</v>
      </c>
      <c r="D25" s="754" t="s">
        <v>1718</v>
      </c>
      <c r="E25" s="750">
        <f>'농어촌학교 근무경력 '!D21</f>
        <v>0</v>
      </c>
      <c r="F25" s="751">
        <f>'농어촌학교 근무경력 '!E21</f>
        <v>0</v>
      </c>
      <c r="G25" s="751">
        <f>'농어촌학교 근무경력 '!F21</f>
        <v>0</v>
      </c>
      <c r="H25" s="751">
        <f>'농어촌학교 근무경력 '!G21</f>
        <v>0</v>
      </c>
      <c r="I25" s="750" t="str">
        <f>IF(H25=0,"",'농어촌학교 근무경력 '!H21&amp;"."&amp;RIGHT("0"&amp;'농어촌학교 근무경력 '!I21,2))</f>
        <v/>
      </c>
      <c r="J25" s="750">
        <f>'농어촌학교 근무경력 '!L21</f>
        <v>0</v>
      </c>
      <c r="K25" s="1232"/>
      <c r="L25" s="98"/>
      <c r="N25" s="88"/>
    </row>
    <row r="26" spans="1:14" ht="21" customHeight="1" x14ac:dyDescent="0.3">
      <c r="A26" s="1225"/>
      <c r="B26" s="1226"/>
      <c r="C26" s="681" t="s">
        <v>1714</v>
      </c>
      <c r="D26" s="697" t="s">
        <v>1716</v>
      </c>
      <c r="E26" s="689">
        <f>'농어촌학교 근무경력 '!D22</f>
        <v>0</v>
      </c>
      <c r="F26" s="690">
        <f>'농어촌학교 근무경력 '!E22</f>
        <v>0</v>
      </c>
      <c r="G26" s="690">
        <f>'농어촌학교 근무경력 '!F22</f>
        <v>0</v>
      </c>
      <c r="H26" s="690">
        <f>'농어촌학교 근무경력 '!G22</f>
        <v>0</v>
      </c>
      <c r="I26" s="689" t="str">
        <f>IF(H26=0,"",'농어촌학교 근무경력 '!H22&amp;"."&amp;RIGHT("0"&amp;'농어촌학교 근무경력 '!I22,2))</f>
        <v/>
      </c>
      <c r="J26" s="689">
        <f>'농어촌학교 근무경력 '!L22</f>
        <v>0</v>
      </c>
      <c r="K26" s="1232"/>
      <c r="L26" s="98"/>
      <c r="N26" s="88"/>
    </row>
    <row r="27" spans="1:14" ht="21" customHeight="1" x14ac:dyDescent="0.3">
      <c r="A27" s="1225"/>
      <c r="B27" s="1226"/>
      <c r="C27" s="683" t="s">
        <v>1714</v>
      </c>
      <c r="D27" s="698" t="s">
        <v>1716</v>
      </c>
      <c r="E27" s="691">
        <f>'농어촌학교 근무경력 '!D23</f>
        <v>0</v>
      </c>
      <c r="F27" s="692">
        <f>'농어촌학교 근무경력 '!E23</f>
        <v>0</v>
      </c>
      <c r="G27" s="692">
        <f>'농어촌학교 근무경력 '!F23</f>
        <v>0</v>
      </c>
      <c r="H27" s="692">
        <f>'농어촌학교 근무경력 '!G23</f>
        <v>0</v>
      </c>
      <c r="I27" s="691" t="str">
        <f>IF(H27=0,"",'농어촌학교 근무경력 '!H23&amp;"."&amp;RIGHT("0"&amp;'농어촌학교 근무경력 '!I23,2))</f>
        <v/>
      </c>
      <c r="J27" s="691">
        <f>'농어촌학교 근무경력 '!L23</f>
        <v>0</v>
      </c>
      <c r="K27" s="1232"/>
      <c r="L27" s="98"/>
      <c r="N27" s="88"/>
    </row>
    <row r="28" spans="1:14" ht="21" customHeight="1" x14ac:dyDescent="0.3">
      <c r="A28" s="1225"/>
      <c r="B28" s="1226"/>
      <c r="C28" s="683" t="s">
        <v>1714</v>
      </c>
      <c r="D28" s="698" t="s">
        <v>1716</v>
      </c>
      <c r="E28" s="691">
        <f>'농어촌학교 근무경력 '!D24</f>
        <v>0</v>
      </c>
      <c r="F28" s="692">
        <f>'농어촌학교 근무경력 '!E24</f>
        <v>0</v>
      </c>
      <c r="G28" s="692">
        <f>'농어촌학교 근무경력 '!F24</f>
        <v>0</v>
      </c>
      <c r="H28" s="692">
        <f>'농어촌학교 근무경력 '!G24</f>
        <v>0</v>
      </c>
      <c r="I28" s="691" t="str">
        <f>IF(H28=0,"",'농어촌학교 근무경력 '!H24&amp;"."&amp;RIGHT("0"&amp;'농어촌학교 근무경력 '!I24,2))</f>
        <v/>
      </c>
      <c r="J28" s="691">
        <f>'농어촌학교 근무경력 '!L24</f>
        <v>0</v>
      </c>
      <c r="K28" s="1232"/>
      <c r="L28" s="98"/>
      <c r="N28" s="88"/>
    </row>
    <row r="29" spans="1:14" ht="21" customHeight="1" x14ac:dyDescent="0.3">
      <c r="A29" s="1225"/>
      <c r="B29" s="1226"/>
      <c r="C29" s="683" t="s">
        <v>1714</v>
      </c>
      <c r="D29" s="698" t="s">
        <v>1716</v>
      </c>
      <c r="E29" s="691">
        <f>'농어촌학교 근무경력 '!D25</f>
        <v>0</v>
      </c>
      <c r="F29" s="692">
        <f>'농어촌학교 근무경력 '!E25</f>
        <v>0</v>
      </c>
      <c r="G29" s="692">
        <f>'농어촌학교 근무경력 '!F25</f>
        <v>0</v>
      </c>
      <c r="H29" s="692">
        <f>'농어촌학교 근무경력 '!G25</f>
        <v>0</v>
      </c>
      <c r="I29" s="691" t="str">
        <f>IF(H29=0,"",'농어촌학교 근무경력 '!H25&amp;"."&amp;RIGHT("0"&amp;'농어촌학교 근무경력 '!I25,2))</f>
        <v/>
      </c>
      <c r="J29" s="691">
        <f>'농어촌학교 근무경력 '!L25</f>
        <v>0</v>
      </c>
      <c r="K29" s="1232"/>
      <c r="L29" s="98"/>
      <c r="N29" s="88"/>
    </row>
    <row r="30" spans="1:14" ht="21" customHeight="1" thickBot="1" x14ac:dyDescent="0.35">
      <c r="A30" s="1225"/>
      <c r="B30" s="1226"/>
      <c r="C30" s="685" t="s">
        <v>1714</v>
      </c>
      <c r="D30" s="699" t="s">
        <v>1716</v>
      </c>
      <c r="E30" s="693">
        <f>'농어촌학교 근무경력 '!D26</f>
        <v>0</v>
      </c>
      <c r="F30" s="694">
        <f>'농어촌학교 근무경력 '!E26</f>
        <v>0</v>
      </c>
      <c r="G30" s="694">
        <f>'농어촌학교 근무경력 '!F26</f>
        <v>0</v>
      </c>
      <c r="H30" s="694">
        <f>'농어촌학교 근무경력 '!G26</f>
        <v>0</v>
      </c>
      <c r="I30" s="693" t="str">
        <f>IF(H30=0,"",'농어촌학교 근무경력 '!H26&amp;"."&amp;RIGHT("0"&amp;'농어촌학교 근무경력 '!I26,2))</f>
        <v/>
      </c>
      <c r="J30" s="693">
        <f>'농어촌학교 근무경력 '!L26</f>
        <v>0</v>
      </c>
      <c r="K30" s="1232"/>
      <c r="L30" s="98"/>
      <c r="N30" s="88"/>
    </row>
    <row r="31" spans="1:14" ht="21" customHeight="1" thickTop="1" x14ac:dyDescent="0.3">
      <c r="A31" s="1225"/>
      <c r="B31" s="1226"/>
      <c r="C31" s="681" t="s">
        <v>1714</v>
      </c>
      <c r="D31" s="687" t="s">
        <v>1717</v>
      </c>
      <c r="E31" s="689">
        <f>'농어촌학교 근무경력 '!D27</f>
        <v>0</v>
      </c>
      <c r="F31" s="690">
        <f>'농어촌학교 근무경력 '!E27</f>
        <v>0</v>
      </c>
      <c r="G31" s="690">
        <f>'농어촌학교 근무경력 '!F27</f>
        <v>0</v>
      </c>
      <c r="H31" s="690">
        <f>'농어촌학교 근무경력 '!G27</f>
        <v>0</v>
      </c>
      <c r="I31" s="689" t="str">
        <f>IF(H31=0,"",'농어촌학교 근무경력 '!H27&amp;"."&amp;RIGHT("0"&amp;'농어촌학교 근무경력 '!I27,2))</f>
        <v/>
      </c>
      <c r="J31" s="689">
        <f>'농어촌학교 근무경력 '!L27</f>
        <v>0</v>
      </c>
      <c r="K31" s="1232"/>
      <c r="L31" s="98"/>
      <c r="N31" s="88"/>
    </row>
    <row r="32" spans="1:14" ht="21" customHeight="1" x14ac:dyDescent="0.3">
      <c r="A32" s="1225"/>
      <c r="B32" s="1226"/>
      <c r="C32" s="683" t="s">
        <v>1714</v>
      </c>
      <c r="D32" s="688" t="s">
        <v>1717</v>
      </c>
      <c r="E32" s="691">
        <f>'농어촌학교 근무경력 '!D28</f>
        <v>0</v>
      </c>
      <c r="F32" s="692">
        <f>'농어촌학교 근무경력 '!E28</f>
        <v>0</v>
      </c>
      <c r="G32" s="692">
        <f>'농어촌학교 근무경력 '!F28</f>
        <v>0</v>
      </c>
      <c r="H32" s="692">
        <f>'농어촌학교 근무경력 '!G28</f>
        <v>0</v>
      </c>
      <c r="I32" s="691" t="str">
        <f>IF(H32=0,"",'농어촌학교 근무경력 '!H28&amp;"."&amp;RIGHT("0"&amp;'농어촌학교 근무경력 '!I28,2))</f>
        <v/>
      </c>
      <c r="J32" s="691">
        <f>'농어촌학교 근무경력 '!L28</f>
        <v>0</v>
      </c>
      <c r="K32" s="1232"/>
      <c r="L32" s="98"/>
      <c r="N32" s="88"/>
    </row>
    <row r="33" spans="1:14" ht="21" customHeight="1" x14ac:dyDescent="0.3">
      <c r="A33" s="1225"/>
      <c r="B33" s="1226"/>
      <c r="C33" s="683" t="s">
        <v>1714</v>
      </c>
      <c r="D33" s="688" t="s">
        <v>1717</v>
      </c>
      <c r="E33" s="691">
        <f>'농어촌학교 근무경력 '!D29</f>
        <v>0</v>
      </c>
      <c r="F33" s="692">
        <f>'농어촌학교 근무경력 '!E29</f>
        <v>0</v>
      </c>
      <c r="G33" s="692">
        <f>'농어촌학교 근무경력 '!F29</f>
        <v>0</v>
      </c>
      <c r="H33" s="692">
        <f>'농어촌학교 근무경력 '!G29</f>
        <v>0</v>
      </c>
      <c r="I33" s="691" t="str">
        <f>IF(H33=0,"",'농어촌학교 근무경력 '!H29&amp;"."&amp;RIGHT("0"&amp;'농어촌학교 근무경력 '!I29,2))</f>
        <v/>
      </c>
      <c r="J33" s="691">
        <f>'농어촌학교 근무경력 '!L29</f>
        <v>0</v>
      </c>
      <c r="K33" s="1232"/>
      <c r="L33" s="98"/>
      <c r="N33" s="88"/>
    </row>
    <row r="34" spans="1:14" ht="21" customHeight="1" x14ac:dyDescent="0.3">
      <c r="A34" s="1225"/>
      <c r="B34" s="1226"/>
      <c r="C34" s="683" t="s">
        <v>1714</v>
      </c>
      <c r="D34" s="688" t="s">
        <v>1717</v>
      </c>
      <c r="E34" s="691">
        <f>'농어촌학교 근무경력 '!D30</f>
        <v>0</v>
      </c>
      <c r="F34" s="692">
        <f>'농어촌학교 근무경력 '!E30</f>
        <v>0</v>
      </c>
      <c r="G34" s="692">
        <f>'농어촌학교 근무경력 '!F30</f>
        <v>0</v>
      </c>
      <c r="H34" s="692">
        <f>'농어촌학교 근무경력 '!G30</f>
        <v>0</v>
      </c>
      <c r="I34" s="691" t="str">
        <f>IF(H34=0,"",'농어촌학교 근무경력 '!H30&amp;"."&amp;RIGHT("0"&amp;'농어촌학교 근무경력 '!I30,2))</f>
        <v/>
      </c>
      <c r="J34" s="691">
        <f>'농어촌학교 근무경력 '!L30</f>
        <v>0</v>
      </c>
      <c r="K34" s="1232"/>
      <c r="L34" s="98"/>
      <c r="N34" s="88"/>
    </row>
    <row r="35" spans="1:14" ht="21" customHeight="1" thickBot="1" x14ac:dyDescent="0.35">
      <c r="A35" s="1225"/>
      <c r="B35" s="1226"/>
      <c r="C35" s="685" t="s">
        <v>1714</v>
      </c>
      <c r="D35" s="695" t="s">
        <v>1717</v>
      </c>
      <c r="E35" s="693">
        <f>'농어촌학교 근무경력 '!D31</f>
        <v>0</v>
      </c>
      <c r="F35" s="694">
        <f>'농어촌학교 근무경력 '!E31</f>
        <v>0</v>
      </c>
      <c r="G35" s="694">
        <f>'농어촌학교 근무경력 '!F31</f>
        <v>0</v>
      </c>
      <c r="H35" s="694">
        <f>'농어촌학교 근무경력 '!G31</f>
        <v>0</v>
      </c>
      <c r="I35" s="693" t="str">
        <f>IF(H35=0,"",'농어촌학교 근무경력 '!H31&amp;"."&amp;RIGHT("0"&amp;'농어촌학교 근무경력 '!I31,2))</f>
        <v/>
      </c>
      <c r="J35" s="693">
        <f>'농어촌학교 근무경력 '!L31</f>
        <v>0</v>
      </c>
      <c r="K35" s="1232"/>
      <c r="L35" s="98"/>
      <c r="N35" s="88"/>
    </row>
    <row r="36" spans="1:14" ht="21" customHeight="1" thickTop="1" x14ac:dyDescent="0.3">
      <c r="A36" s="1225"/>
      <c r="B36" s="1226"/>
      <c r="C36" s="681" t="s">
        <v>1714</v>
      </c>
      <c r="D36" s="696" t="s">
        <v>1718</v>
      </c>
      <c r="E36" s="689">
        <f>'농어촌학교 근무경력 '!D32</f>
        <v>0</v>
      </c>
      <c r="F36" s="690">
        <f>'농어촌학교 근무경력 '!E32</f>
        <v>0</v>
      </c>
      <c r="G36" s="690">
        <f>'농어촌학교 근무경력 '!F32</f>
        <v>0</v>
      </c>
      <c r="H36" s="690">
        <f>'농어촌학교 근무경력 '!G32</f>
        <v>0</v>
      </c>
      <c r="I36" s="689" t="str">
        <f>IF(H36=0,"",'농어촌학교 근무경력 '!H32&amp;"."&amp;RIGHT("0"&amp;'농어촌학교 근무경력 '!I32,2))</f>
        <v/>
      </c>
      <c r="J36" s="689">
        <f>'농어촌학교 근무경력 '!L32</f>
        <v>0</v>
      </c>
      <c r="K36" s="1232"/>
      <c r="L36" s="98"/>
      <c r="N36" s="88"/>
    </row>
    <row r="37" spans="1:14" ht="21" customHeight="1" x14ac:dyDescent="0.3">
      <c r="A37" s="1225"/>
      <c r="B37" s="1226"/>
      <c r="C37" s="683" t="s">
        <v>1714</v>
      </c>
      <c r="D37" s="700" t="s">
        <v>1718</v>
      </c>
      <c r="E37" s="691">
        <f>'농어촌학교 근무경력 '!D33</f>
        <v>0</v>
      </c>
      <c r="F37" s="692">
        <f>'농어촌학교 근무경력 '!E33</f>
        <v>0</v>
      </c>
      <c r="G37" s="692">
        <f>'농어촌학교 근무경력 '!F33</f>
        <v>0</v>
      </c>
      <c r="H37" s="692">
        <f>'농어촌학교 근무경력 '!G33</f>
        <v>0</v>
      </c>
      <c r="I37" s="691" t="str">
        <f>IF(H37=0,"",'농어촌학교 근무경력 '!H33&amp;"."&amp;RIGHT("0"&amp;'농어촌학교 근무경력 '!I33,2))</f>
        <v/>
      </c>
      <c r="J37" s="691">
        <f>'농어촌학교 근무경력 '!L33</f>
        <v>0</v>
      </c>
      <c r="K37" s="1232"/>
      <c r="L37" s="98"/>
      <c r="N37" s="88"/>
    </row>
    <row r="38" spans="1:14" ht="21" customHeight="1" x14ac:dyDescent="0.3">
      <c r="A38" s="1225"/>
      <c r="B38" s="1226"/>
      <c r="C38" s="683" t="s">
        <v>1714</v>
      </c>
      <c r="D38" s="700" t="s">
        <v>1718</v>
      </c>
      <c r="E38" s="691">
        <f>'농어촌학교 근무경력 '!D34</f>
        <v>0</v>
      </c>
      <c r="F38" s="692">
        <f>'농어촌학교 근무경력 '!E34</f>
        <v>0</v>
      </c>
      <c r="G38" s="692">
        <f>'농어촌학교 근무경력 '!F34</f>
        <v>0</v>
      </c>
      <c r="H38" s="692">
        <f>'농어촌학교 근무경력 '!G34</f>
        <v>0</v>
      </c>
      <c r="I38" s="691" t="str">
        <f>IF(H38=0,"",'농어촌학교 근무경력 '!H34&amp;"."&amp;RIGHT("0"&amp;'농어촌학교 근무경력 '!I34,2))</f>
        <v/>
      </c>
      <c r="J38" s="691">
        <f>'농어촌학교 근무경력 '!L34</f>
        <v>0</v>
      </c>
      <c r="K38" s="1232"/>
      <c r="L38" s="98"/>
      <c r="N38" s="88"/>
    </row>
    <row r="39" spans="1:14" ht="21" customHeight="1" x14ac:dyDescent="0.3">
      <c r="A39" s="1225"/>
      <c r="B39" s="1226"/>
      <c r="C39" s="683" t="s">
        <v>1714</v>
      </c>
      <c r="D39" s="700" t="s">
        <v>1718</v>
      </c>
      <c r="E39" s="691">
        <f>'농어촌학교 근무경력 '!D35</f>
        <v>0</v>
      </c>
      <c r="F39" s="692">
        <f>'농어촌학교 근무경력 '!E35</f>
        <v>0</v>
      </c>
      <c r="G39" s="692">
        <f>'농어촌학교 근무경력 '!F35</f>
        <v>0</v>
      </c>
      <c r="H39" s="692">
        <f>'농어촌학교 근무경력 '!G35</f>
        <v>0</v>
      </c>
      <c r="I39" s="691" t="str">
        <f>IF(H39=0,"",'농어촌학교 근무경력 '!H35&amp;"."&amp;RIGHT("0"&amp;'농어촌학교 근무경력 '!I35,2))</f>
        <v/>
      </c>
      <c r="J39" s="691">
        <f>'농어촌학교 근무경력 '!L35</f>
        <v>0</v>
      </c>
      <c r="K39" s="1232"/>
      <c r="L39" s="98"/>
      <c r="N39" s="88"/>
    </row>
    <row r="40" spans="1:14" ht="21" customHeight="1" thickBot="1" x14ac:dyDescent="0.35">
      <c r="A40" s="1225"/>
      <c r="B40" s="1226"/>
      <c r="C40" s="685" t="s">
        <v>1714</v>
      </c>
      <c r="D40" s="701" t="s">
        <v>1718</v>
      </c>
      <c r="E40" s="693">
        <f>'농어촌학교 근무경력 '!D36</f>
        <v>0</v>
      </c>
      <c r="F40" s="694">
        <f>'농어촌학교 근무경력 '!E36</f>
        <v>0</v>
      </c>
      <c r="G40" s="694">
        <f>'농어촌학교 근무경력 '!F36</f>
        <v>0</v>
      </c>
      <c r="H40" s="694">
        <f>'농어촌학교 근무경력 '!G36</f>
        <v>0</v>
      </c>
      <c r="I40" s="693" t="str">
        <f>IF(H40=0,"",'농어촌학교 근무경력 '!H36&amp;"."&amp;RIGHT("0"&amp;'농어촌학교 근무경력 '!I36,2))</f>
        <v/>
      </c>
      <c r="J40" s="693">
        <f>'농어촌학교 근무경력 '!L36</f>
        <v>0</v>
      </c>
      <c r="K40" s="1232"/>
      <c r="L40" s="98"/>
      <c r="N40" s="88"/>
    </row>
    <row r="41" spans="1:14" ht="21" customHeight="1" thickTop="1" x14ac:dyDescent="0.3">
      <c r="A41" s="1225"/>
      <c r="B41" s="1226"/>
      <c r="C41" s="681" t="s">
        <v>1714</v>
      </c>
      <c r="D41" s="702" t="s">
        <v>1719</v>
      </c>
      <c r="E41" s="689">
        <f>'농어촌학교 근무경력 '!D37</f>
        <v>0</v>
      </c>
      <c r="F41" s="690">
        <f>'농어촌학교 근무경력 '!E37</f>
        <v>0</v>
      </c>
      <c r="G41" s="690">
        <f>'농어촌학교 근무경력 '!F37</f>
        <v>0</v>
      </c>
      <c r="H41" s="690">
        <f>'농어촌학교 근무경력 '!G37</f>
        <v>0</v>
      </c>
      <c r="I41" s="689" t="str">
        <f>IF(H41=0,"",'농어촌학교 근무경력 '!H37&amp;"."&amp;RIGHT("0"&amp;'농어촌학교 근무경력 '!I37,2))</f>
        <v/>
      </c>
      <c r="J41" s="689">
        <f>'농어촌학교 근무경력 '!L37</f>
        <v>0</v>
      </c>
      <c r="K41" s="1232"/>
      <c r="L41" s="98"/>
      <c r="N41" s="88"/>
    </row>
    <row r="42" spans="1:14" ht="21" customHeight="1" x14ac:dyDescent="0.3">
      <c r="A42" s="1225"/>
      <c r="B42" s="1226"/>
      <c r="C42" s="683" t="s">
        <v>1714</v>
      </c>
      <c r="D42" s="703" t="s">
        <v>1719</v>
      </c>
      <c r="E42" s="691">
        <f>'농어촌학교 근무경력 '!D38</f>
        <v>0</v>
      </c>
      <c r="F42" s="692">
        <f>'농어촌학교 근무경력 '!E38</f>
        <v>0</v>
      </c>
      <c r="G42" s="692">
        <f>'농어촌학교 근무경력 '!F38</f>
        <v>0</v>
      </c>
      <c r="H42" s="692">
        <f>'농어촌학교 근무경력 '!G38</f>
        <v>0</v>
      </c>
      <c r="I42" s="691" t="str">
        <f>IF(H42=0,"",'농어촌학교 근무경력 '!H38&amp;"."&amp;RIGHT("0"&amp;'농어촌학교 근무경력 '!I38,2))</f>
        <v/>
      </c>
      <c r="J42" s="691">
        <f>'농어촌학교 근무경력 '!L38</f>
        <v>0</v>
      </c>
      <c r="K42" s="1232"/>
      <c r="L42" s="98"/>
      <c r="N42" s="88"/>
    </row>
    <row r="43" spans="1:14" ht="21" customHeight="1" x14ac:dyDescent="0.3">
      <c r="A43" s="1225"/>
      <c r="B43" s="1226"/>
      <c r="C43" s="683" t="s">
        <v>1714</v>
      </c>
      <c r="D43" s="703" t="s">
        <v>1719</v>
      </c>
      <c r="E43" s="691">
        <f>'농어촌학교 근무경력 '!D39</f>
        <v>0</v>
      </c>
      <c r="F43" s="692">
        <f>'농어촌학교 근무경력 '!E39</f>
        <v>0</v>
      </c>
      <c r="G43" s="692">
        <f>'농어촌학교 근무경력 '!F39</f>
        <v>0</v>
      </c>
      <c r="H43" s="692">
        <f>'농어촌학교 근무경력 '!G39</f>
        <v>0</v>
      </c>
      <c r="I43" s="691" t="str">
        <f>IF(H43=0,"",'농어촌학교 근무경력 '!H39&amp;"."&amp;RIGHT("0"&amp;'농어촌학교 근무경력 '!I39,2))</f>
        <v/>
      </c>
      <c r="J43" s="691">
        <f>'농어촌학교 근무경력 '!L39</f>
        <v>0</v>
      </c>
      <c r="K43" s="1232"/>
      <c r="L43" s="98"/>
      <c r="N43" s="88"/>
    </row>
    <row r="44" spans="1:14" ht="21" customHeight="1" x14ac:dyDescent="0.3">
      <c r="A44" s="1225"/>
      <c r="B44" s="1226"/>
      <c r="C44" s="683" t="s">
        <v>1714</v>
      </c>
      <c r="D44" s="703" t="s">
        <v>1719</v>
      </c>
      <c r="E44" s="691">
        <f>'농어촌학교 근무경력 '!D40</f>
        <v>0</v>
      </c>
      <c r="F44" s="692">
        <f>'농어촌학교 근무경력 '!E40</f>
        <v>0</v>
      </c>
      <c r="G44" s="692">
        <f>'농어촌학교 근무경력 '!F40</f>
        <v>0</v>
      </c>
      <c r="H44" s="692">
        <f>'농어촌학교 근무경력 '!G40</f>
        <v>0</v>
      </c>
      <c r="I44" s="691" t="str">
        <f>IF(H44=0,"",'농어촌학교 근무경력 '!H40&amp;"."&amp;RIGHT("0"&amp;'농어촌학교 근무경력 '!I40,2))</f>
        <v/>
      </c>
      <c r="J44" s="691">
        <f>'농어촌학교 근무경력 '!L40</f>
        <v>0</v>
      </c>
      <c r="K44" s="1232"/>
      <c r="L44" s="98"/>
      <c r="N44" s="88"/>
    </row>
    <row r="45" spans="1:14" ht="21" customHeight="1" thickBot="1" x14ac:dyDescent="0.35">
      <c r="A45" s="1225"/>
      <c r="B45" s="1226"/>
      <c r="C45" s="685" t="s">
        <v>1714</v>
      </c>
      <c r="D45" s="764" t="s">
        <v>1719</v>
      </c>
      <c r="E45" s="693">
        <f>'농어촌학교 근무경력 '!D41</f>
        <v>0</v>
      </c>
      <c r="F45" s="694">
        <f>'농어촌학교 근무경력 '!E41</f>
        <v>0</v>
      </c>
      <c r="G45" s="694">
        <f>'농어촌학교 근무경력 '!F41</f>
        <v>0</v>
      </c>
      <c r="H45" s="694">
        <f>'농어촌학교 근무경력 '!G41</f>
        <v>0</v>
      </c>
      <c r="I45" s="693" t="str">
        <f>IF(H45=0,"",'농어촌학교 근무경력 '!H41&amp;"."&amp;RIGHT("0"&amp;'농어촌학교 근무경력 '!I41,2))</f>
        <v/>
      </c>
      <c r="J45" s="693">
        <f>'농어촌학교 근무경력 '!L41</f>
        <v>0</v>
      </c>
      <c r="K45" s="1232"/>
      <c r="L45" s="98"/>
      <c r="N45" s="88"/>
    </row>
    <row r="46" spans="1:14" ht="21" customHeight="1" thickTop="1" x14ac:dyDescent="0.3">
      <c r="A46" s="1225"/>
      <c r="B46" s="1226"/>
      <c r="C46" s="1234" t="s">
        <v>1767</v>
      </c>
      <c r="D46" s="696" t="s">
        <v>1768</v>
      </c>
      <c r="E46" s="689">
        <f>'농어촌학교 근무경력 '!D42</f>
        <v>0</v>
      </c>
      <c r="F46" s="690">
        <f>'농어촌학교 근무경력 '!E42</f>
        <v>0</v>
      </c>
      <c r="G46" s="690">
        <f>'농어촌학교 근무경력 '!F42</f>
        <v>0</v>
      </c>
      <c r="H46" s="690">
        <f>'농어촌학교 근무경력 '!G42</f>
        <v>0</v>
      </c>
      <c r="I46" s="689" t="str">
        <f>IF(H46=0,"",'농어촌학교 근무경력 '!H42&amp;"."&amp;RIGHT("0"&amp;'농어촌학교 근무경력 '!I42,2))</f>
        <v/>
      </c>
      <c r="J46" s="689">
        <f>'농어촌학교 근무경력 '!L42</f>
        <v>0</v>
      </c>
      <c r="K46" s="1232"/>
      <c r="L46" s="98"/>
      <c r="N46" s="88"/>
    </row>
    <row r="47" spans="1:14" ht="21" customHeight="1" x14ac:dyDescent="0.3">
      <c r="A47" s="1225"/>
      <c r="B47" s="1226"/>
      <c r="C47" s="1235"/>
      <c r="D47" s="700" t="s">
        <v>1768</v>
      </c>
      <c r="E47" s="691">
        <f>'농어촌학교 근무경력 '!D43</f>
        <v>0</v>
      </c>
      <c r="F47" s="692">
        <f>'농어촌학교 근무경력 '!E43</f>
        <v>0</v>
      </c>
      <c r="G47" s="692">
        <f>'농어촌학교 근무경력 '!F43</f>
        <v>0</v>
      </c>
      <c r="H47" s="692">
        <f>'농어촌학교 근무경력 '!G43</f>
        <v>0</v>
      </c>
      <c r="I47" s="691" t="str">
        <f>IF(H47=0,"",'농어촌학교 근무경력 '!H43&amp;"."&amp;RIGHT("0"&amp;'농어촌학교 근무경력 '!I43,2))</f>
        <v/>
      </c>
      <c r="J47" s="691">
        <f>'농어촌학교 근무경력 '!L43</f>
        <v>0</v>
      </c>
      <c r="K47" s="1232"/>
      <c r="L47" s="98"/>
      <c r="N47" s="88"/>
    </row>
    <row r="48" spans="1:14" ht="21" customHeight="1" x14ac:dyDescent="0.3">
      <c r="A48" s="1225"/>
      <c r="B48" s="1226"/>
      <c r="C48" s="1236"/>
      <c r="D48" s="700" t="s">
        <v>1768</v>
      </c>
      <c r="E48" s="691">
        <f>'농어촌학교 근무경력 '!D44</f>
        <v>0</v>
      </c>
      <c r="F48" s="692">
        <f>'농어촌학교 근무경력 '!E44</f>
        <v>0</v>
      </c>
      <c r="G48" s="692">
        <f>'농어촌학교 근무경력 '!F44</f>
        <v>0</v>
      </c>
      <c r="H48" s="692">
        <f>'농어촌학교 근무경력 '!G44</f>
        <v>0</v>
      </c>
      <c r="I48" s="691" t="str">
        <f>IF(H48=0,"",'농어촌학교 근무경력 '!H44&amp;"."&amp;RIGHT("0"&amp;'농어촌학교 근무경력 '!I44,2))</f>
        <v/>
      </c>
      <c r="J48" s="691">
        <f>'농어촌학교 근무경력 '!L44</f>
        <v>0</v>
      </c>
      <c r="K48" s="1233"/>
      <c r="L48" s="98"/>
      <c r="N48" s="88"/>
    </row>
    <row r="49" spans="1:11" ht="13.15" customHeight="1" x14ac:dyDescent="0.3">
      <c r="A49" s="1206"/>
      <c r="B49" s="1207"/>
      <c r="C49" s="1207"/>
      <c r="D49" s="1207"/>
      <c r="E49" s="1207"/>
      <c r="F49" s="1207"/>
      <c r="G49" s="1207"/>
      <c r="H49" s="1207"/>
      <c r="I49" s="1207"/>
      <c r="J49" s="1207"/>
      <c r="K49" s="1208"/>
    </row>
    <row r="50" spans="1:11" ht="16.899999999999999" customHeight="1" x14ac:dyDescent="0.3">
      <c r="A50" s="704" t="s">
        <v>1637</v>
      </c>
      <c r="B50" s="705"/>
      <c r="C50" s="705"/>
      <c r="D50" s="705"/>
      <c r="E50" s="705"/>
      <c r="F50" s="705"/>
      <c r="G50" s="705"/>
      <c r="H50" s="705"/>
      <c r="I50" s="705"/>
      <c r="J50" s="705"/>
      <c r="K50" s="706"/>
    </row>
    <row r="51" spans="1:11" ht="15" customHeight="1" x14ac:dyDescent="0.3">
      <c r="A51" s="1209" t="s">
        <v>19</v>
      </c>
      <c r="B51" s="1210"/>
      <c r="C51" s="707"/>
      <c r="D51" s="707"/>
      <c r="E51" s="1211" t="s">
        <v>24</v>
      </c>
      <c r="F51" s="1211"/>
      <c r="G51" s="1211" t="s">
        <v>2</v>
      </c>
      <c r="H51" s="1211"/>
      <c r="I51" s="708" t="s">
        <v>22</v>
      </c>
      <c r="J51" s="1215" t="s">
        <v>23</v>
      </c>
      <c r="K51" s="1216"/>
    </row>
    <row r="52" spans="1:11" ht="15" customHeight="1" x14ac:dyDescent="0.3">
      <c r="A52" s="1212" t="s">
        <v>20</v>
      </c>
      <c r="B52" s="1213"/>
      <c r="C52" s="709"/>
      <c r="D52" s="709"/>
      <c r="E52" s="1214" t="str">
        <f>입력!$D$35</f>
        <v>경원중학교</v>
      </c>
      <c r="F52" s="1214"/>
      <c r="G52" s="1214" t="str">
        <f>입력!$D$36</f>
        <v>교감</v>
      </c>
      <c r="H52" s="1214"/>
      <c r="I52" s="710" t="str">
        <f>입력!$D$37</f>
        <v>김교감</v>
      </c>
      <c r="J52" s="1217" t="s">
        <v>391</v>
      </c>
      <c r="K52" s="1218"/>
    </row>
    <row r="53" spans="1:11" ht="15" customHeight="1" x14ac:dyDescent="0.3">
      <c r="A53" s="1203" t="s">
        <v>21</v>
      </c>
      <c r="B53" s="1204"/>
      <c r="C53" s="711"/>
      <c r="D53" s="711"/>
      <c r="E53" s="1205" t="str">
        <f>입력!$D$38</f>
        <v>경원중학교</v>
      </c>
      <c r="F53" s="1205"/>
      <c r="G53" s="1205" t="str">
        <f>입력!$D$39</f>
        <v>교장</v>
      </c>
      <c r="H53" s="1205"/>
      <c r="I53" s="712" t="str">
        <f>입력!$D$40</f>
        <v>이교장</v>
      </c>
      <c r="J53" s="1219" t="s">
        <v>391</v>
      </c>
      <c r="K53" s="1220"/>
    </row>
    <row r="54" spans="1:11" ht="14.1" customHeight="1" x14ac:dyDescent="0.3">
      <c r="A54" s="81"/>
      <c r="B54" s="81"/>
      <c r="C54" s="81"/>
      <c r="D54" s="81"/>
    </row>
  </sheetData>
  <sheetProtection algorithmName="SHA-512" hashValue="8O2bn9RU7dCm7MDfjLqwUMXVtiZ6i0zy6NOIdQ1ms+I2FI0tiJfhqjmi8C7B8+aauKSKzVXeUEa0ITmKRMy0Ug==" saltValue="iTTFXdyjmnxohCX288jh1A==" spinCount="100000" sheet="1" objects="1" scenarios="1" selectLockedCells="1"/>
  <mergeCells count="35">
    <mergeCell ref="A4:K4"/>
    <mergeCell ref="A5:E5"/>
    <mergeCell ref="F5:G5"/>
    <mergeCell ref="H5:I5"/>
    <mergeCell ref="A2:K2"/>
    <mergeCell ref="A3:K3"/>
    <mergeCell ref="K8:K9"/>
    <mergeCell ref="A10:B48"/>
    <mergeCell ref="A6:E6"/>
    <mergeCell ref="F6:G6"/>
    <mergeCell ref="H6:I6"/>
    <mergeCell ref="A7:K7"/>
    <mergeCell ref="A8:B9"/>
    <mergeCell ref="E8:E9"/>
    <mergeCell ref="F8:F9"/>
    <mergeCell ref="G8:H8"/>
    <mergeCell ref="I8:I9"/>
    <mergeCell ref="J8:J9"/>
    <mergeCell ref="K10:K48"/>
    <mergeCell ref="C8:C9"/>
    <mergeCell ref="D8:D9"/>
    <mergeCell ref="C46:C48"/>
    <mergeCell ref="A53:B53"/>
    <mergeCell ref="E53:F53"/>
    <mergeCell ref="G53:H53"/>
    <mergeCell ref="A49:K49"/>
    <mergeCell ref="A51:B51"/>
    <mergeCell ref="E51:F51"/>
    <mergeCell ref="G51:H51"/>
    <mergeCell ref="A52:B52"/>
    <mergeCell ref="E52:F52"/>
    <mergeCell ref="G52:H52"/>
    <mergeCell ref="J51:K51"/>
    <mergeCell ref="J52:K52"/>
    <mergeCell ref="J53:K53"/>
  </mergeCells>
  <phoneticPr fontId="3" type="noConversion"/>
  <printOptions horizontalCentered="1"/>
  <pageMargins left="0.39370078740157483" right="0.39370078740157483" top="0.78740157480314965" bottom="0.39370078740157483" header="0" footer="0"/>
  <pageSetup paperSize="9" scale="7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0" operator="greaterThan" id="{79297C25-B4B4-42AD-ACE9-4D3D52D91F44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H29:H31 H34:H36 H39:H41 H44:H48 H10:H26</xm:sqref>
        </x14:conditionalFormatting>
        <x14:conditionalFormatting xmlns:xm="http://schemas.microsoft.com/office/excel/2006/main">
          <x14:cfRule type="cellIs" priority="8" operator="greaterThan" id="{451E407D-6DBB-4725-9E09-FF5C9F2721D0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H27</xm:sqref>
        </x14:conditionalFormatting>
        <x14:conditionalFormatting xmlns:xm="http://schemas.microsoft.com/office/excel/2006/main">
          <x14:cfRule type="cellIs" priority="7" operator="greaterThan" id="{351EA238-6140-4FAC-9303-C0D6AE33B784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H32</xm:sqref>
        </x14:conditionalFormatting>
        <x14:conditionalFormatting xmlns:xm="http://schemas.microsoft.com/office/excel/2006/main">
          <x14:cfRule type="cellIs" priority="6" operator="greaterThan" id="{BD461AF9-6496-4498-AB74-C0A3DEF9BE26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H37</xm:sqref>
        </x14:conditionalFormatting>
        <x14:conditionalFormatting xmlns:xm="http://schemas.microsoft.com/office/excel/2006/main">
          <x14:cfRule type="cellIs" priority="5" operator="greaterThan" id="{919C30CC-D2BC-46C1-8FF3-ADB4BDA1AA3C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H42</xm:sqref>
        </x14:conditionalFormatting>
        <x14:conditionalFormatting xmlns:xm="http://schemas.microsoft.com/office/excel/2006/main">
          <x14:cfRule type="cellIs" priority="4" operator="greaterThan" id="{64D8CDE0-96A7-4D10-B038-5E53B540DA45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H28</xm:sqref>
        </x14:conditionalFormatting>
        <x14:conditionalFormatting xmlns:xm="http://schemas.microsoft.com/office/excel/2006/main">
          <x14:cfRule type="cellIs" priority="3" operator="greaterThan" id="{27DD4961-076B-40A1-BBDA-263BA8192235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H33</xm:sqref>
        </x14:conditionalFormatting>
        <x14:conditionalFormatting xmlns:xm="http://schemas.microsoft.com/office/excel/2006/main">
          <x14:cfRule type="cellIs" priority="2" operator="greaterThan" id="{773F8F15-2CB8-4A52-A443-4DA3E0E06DAD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H38</xm:sqref>
        </x14:conditionalFormatting>
        <x14:conditionalFormatting xmlns:xm="http://schemas.microsoft.com/office/excel/2006/main">
          <x14:cfRule type="cellIs" priority="1" operator="greaterThan" id="{E1A1F84A-1489-4901-AAA5-2D9135A1F964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H43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6</vt:i4>
      </vt:variant>
    </vt:vector>
  </HeadingPairs>
  <TitlesOfParts>
    <vt:vector size="15" baseType="lpstr">
      <vt:lpstr>입력</vt:lpstr>
      <vt:lpstr>농어촌학교 근무경력 </vt:lpstr>
      <vt:lpstr>명부</vt:lpstr>
      <vt:lpstr>종합</vt:lpstr>
      <vt:lpstr>경력</vt:lpstr>
      <vt:lpstr>연수성적</vt:lpstr>
      <vt:lpstr>경력가산점</vt:lpstr>
      <vt:lpstr>실적가산점</vt:lpstr>
      <vt:lpstr>농어촌 경력가산점</vt:lpstr>
      <vt:lpstr>경력가산점!Print_Area</vt:lpstr>
      <vt:lpstr>'농어촌 경력가산점'!Print_Area</vt:lpstr>
      <vt:lpstr>실적가산점!Print_Area</vt:lpstr>
      <vt:lpstr>기관명</vt:lpstr>
      <vt:lpstr>등급</vt:lpstr>
      <vt:lpstr>연구자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영어과</dc:creator>
  <cp:lastModifiedBy>user</cp:lastModifiedBy>
  <cp:lastPrinted>2023-12-07T02:43:44Z</cp:lastPrinted>
  <dcterms:created xsi:type="dcterms:W3CDTF">2014-10-27T12:33:50Z</dcterms:created>
  <dcterms:modified xsi:type="dcterms:W3CDTF">2023-12-25T23:42:24Z</dcterms:modified>
</cp:coreProperties>
</file>